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2165" documentId="13_ncr:1_{677F172F-F14C-4256-A9D0-3A3E9BFC436B}" xr6:coauthVersionLast="47" xr6:coauthVersionMax="47" xr10:uidLastSave="{B0D4566A-237C-4803-8D21-C956DDF07D5D}"/>
  <bookViews>
    <workbookView xWindow="900" yWindow="0" windowWidth="22020" windowHeight="15405" tabRatio="844" xr2:uid="{738DEC14-D873-4C30-A188-34B72765836C}"/>
  </bookViews>
  <sheets>
    <sheet name="WP C, pg 1" sheetId="1" r:id="rId1"/>
    <sheet name="WP C, pg 2 &amp; 3" sheetId="2" r:id="rId2"/>
    <sheet name="G9B6U Input" sheetId="3" r:id="rId3"/>
    <sheet name="G9B6U TotalWO" sheetId="4" r:id="rId4"/>
    <sheet name="G9B6U Acct1" sheetId="5" r:id="rId5"/>
    <sheet name="G9B6U Support" sheetId="6" r:id="rId6"/>
    <sheet name="G99BW Input" sheetId="7" r:id="rId7"/>
    <sheet name="G99BW TotalWO" sheetId="8" r:id="rId8"/>
    <sheet name="G99BW Acct1" sheetId="9" r:id="rId9"/>
    <sheet name="G99BW Support" sheetId="11" r:id="rId10"/>
    <sheet name="G9BAL Input" sheetId="12" r:id="rId11"/>
    <sheet name="G9BAL TotalWO" sheetId="13" r:id="rId12"/>
    <sheet name="G9BAL Acct1" sheetId="14" r:id="rId13"/>
    <sheet name="G9BAL Support" sheetId="15" r:id="rId14"/>
    <sheet name="G9AET Input" sheetId="16" r:id="rId15"/>
    <sheet name="G9AET TotalWO" sheetId="17" r:id="rId16"/>
    <sheet name="G9AET Acct1" sheetId="18" r:id="rId17"/>
    <sheet name="G9AET Support" sheetId="19" r:id="rId18"/>
    <sheet name="G9BDB Input" sheetId="20" r:id="rId19"/>
    <sheet name="G9BDB TotalWO" sheetId="21" r:id="rId20"/>
    <sheet name="G9BDB Acct1" sheetId="22" r:id="rId21"/>
    <sheet name="G9BDB Support" sheetId="23" r:id="rId22"/>
    <sheet name="G9BDC Input" sheetId="24" r:id="rId23"/>
    <sheet name="G9BDC TotalWO" sheetId="25" r:id="rId24"/>
    <sheet name="G9BDC Acct1" sheetId="26" r:id="rId25"/>
    <sheet name="G9BDC Support" sheetId="27" r:id="rId26"/>
    <sheet name="G9AM4 Input" sheetId="69" r:id="rId27"/>
    <sheet name="G9AM4 TotalWO" sheetId="70" r:id="rId28"/>
    <sheet name="G9AM4 Acct1" sheetId="71" r:id="rId29"/>
    <sheet name="G9AM4 Support" sheetId="72" r:id="rId30"/>
    <sheet name="G9AF2 Input" sheetId="73" r:id="rId31"/>
    <sheet name="G9AF2 TotalWO" sheetId="74" r:id="rId32"/>
    <sheet name="G9AF2 Acct1" sheetId="75" r:id="rId33"/>
    <sheet name="G9AF2 Support" sheetId="76" r:id="rId34"/>
    <sheet name="G9BDJ Input" sheetId="65" r:id="rId35"/>
    <sheet name="G9BDJ  TotalWO" sheetId="66" r:id="rId36"/>
    <sheet name="G9BDJ  Acct1" sheetId="67" r:id="rId37"/>
    <sheet name="G9BDJ  Support" sheetId="68" r:id="rId38"/>
    <sheet name="G9BDH Input" sheetId="88" r:id="rId39"/>
    <sheet name="G9BDH TotalWO" sheetId="89" r:id="rId40"/>
    <sheet name="G9BDH Acct1" sheetId="90" r:id="rId41"/>
    <sheet name="G9BDH Support" sheetId="91" r:id="rId42"/>
    <sheet name="G99BX Input" sheetId="28" r:id="rId43"/>
    <sheet name="G99BX TotalWO" sheetId="29" r:id="rId44"/>
    <sheet name="G99BX Acct1" sheetId="30" r:id="rId45"/>
    <sheet name="G99BX Support" sheetId="31" r:id="rId46"/>
    <sheet name="G99HL Input" sheetId="32" r:id="rId47"/>
    <sheet name="G99HLTotalWO" sheetId="33" r:id="rId48"/>
    <sheet name="G99HL Acct1" sheetId="34" r:id="rId49"/>
    <sheet name="G99HL Support" sheetId="36" r:id="rId50"/>
    <sheet name="G9BAM Input" sheetId="37" r:id="rId51"/>
    <sheet name="G9BAM TotalWO" sheetId="38" r:id="rId52"/>
    <sheet name="G9BAM Acct1" sheetId="39" r:id="rId53"/>
    <sheet name="G9BAM Support" sheetId="40" r:id="rId54"/>
    <sheet name="G99B4 Input" sheetId="41" r:id="rId55"/>
    <sheet name="G99B4 TotalWO" sheetId="42" r:id="rId56"/>
    <sheet name="G99B4 Acct1" sheetId="43" r:id="rId57"/>
    <sheet name="G99B4 Support" sheetId="44" r:id="rId58"/>
    <sheet name="G99I0 Input" sheetId="45" r:id="rId59"/>
    <sheet name="G99I0 TotalWO" sheetId="46" r:id="rId60"/>
    <sheet name="G99I0 Acct1" sheetId="47" r:id="rId61"/>
    <sheet name="G99I0 Support" sheetId="48" r:id="rId62"/>
    <sheet name="G9BDN Input" sheetId="49" r:id="rId63"/>
    <sheet name="G9BDN TotalWO" sheetId="50" r:id="rId64"/>
    <sheet name="G9BDN Acct1" sheetId="51" r:id="rId65"/>
    <sheet name="G9BDN Support" sheetId="52" r:id="rId66"/>
    <sheet name="G9BDU Input" sheetId="53" r:id="rId67"/>
    <sheet name="G9BDU TotalWO" sheetId="54" r:id="rId68"/>
    <sheet name="G9BDU Acct1" sheetId="55" r:id="rId69"/>
    <sheet name="G9BDU Support" sheetId="56" r:id="rId70"/>
    <sheet name="G99L3 Input" sheetId="57" r:id="rId71"/>
    <sheet name="G99L3 TotalWO" sheetId="58" r:id="rId72"/>
    <sheet name="G99L3 Acct1" sheetId="59" r:id="rId73"/>
    <sheet name="G99L3 Support" sheetId="60" r:id="rId74"/>
    <sheet name="G9BDM Input" sheetId="61" r:id="rId75"/>
    <sheet name="G9BDM TotalWO" sheetId="62" r:id="rId76"/>
    <sheet name="G9BDM Acct1" sheetId="63" r:id="rId77"/>
    <sheet name="G9BDM Support" sheetId="64" r:id="rId78"/>
    <sheet name="G9BDG Input " sheetId="78" r:id="rId79"/>
    <sheet name="G9BDG TotalWO" sheetId="79" r:id="rId80"/>
    <sheet name="G9BDG Acct1" sheetId="80" r:id="rId81"/>
    <sheet name="G9BDG Support" sheetId="81" r:id="rId82"/>
    <sheet name="G9BDQ Input" sheetId="82" r:id="rId83"/>
    <sheet name="G9BDQ TotalWO" sheetId="83" r:id="rId84"/>
    <sheet name="G9BDQ Acct1" sheetId="84" r:id="rId85"/>
    <sheet name="G9BDQ Acct2" sheetId="85" r:id="rId86"/>
    <sheet name="G9BDQ Support" sheetId="86" r:id="rId87"/>
    <sheet name="G9BDL Input" sheetId="92" r:id="rId88"/>
    <sheet name="G9BDL TotalWO" sheetId="93" r:id="rId89"/>
    <sheet name="G9BDL Acct1" sheetId="94" r:id="rId90"/>
    <sheet name="G9BDL Support" sheetId="95" r:id="rId91"/>
  </sheets>
  <externalReferences>
    <externalReference r:id="rId92"/>
  </externalReferences>
  <definedNames>
    <definedName name="\a">#REF!</definedName>
    <definedName name="\b">#REF!</definedName>
    <definedName name="_a1">#REF!</definedName>
    <definedName name="_Key1" localSheetId="55" hidden="1">[1]Acct1!$A$13:$A$44</definedName>
    <definedName name="_Key1" localSheetId="7" hidden="1">[1]Acct1!$A$13:$A$44</definedName>
    <definedName name="_Key1" localSheetId="43" hidden="1">[1]Acct1!$A$13:$A$44</definedName>
    <definedName name="_Key1" localSheetId="47" hidden="1">[1]Acct1!$A$13:$A$44</definedName>
    <definedName name="_Key1" localSheetId="59" hidden="1">[1]Acct1!$A$13:$A$44</definedName>
    <definedName name="_Key1" localSheetId="71" hidden="1">[1]Acct1!$A$13:$A$44</definedName>
    <definedName name="_Key1" localSheetId="15" hidden="1">[1]Acct1!$A$13:$A$44</definedName>
    <definedName name="_Key1" localSheetId="31" hidden="1">[1]Acct1!$A$13:$A$44</definedName>
    <definedName name="_Key1" localSheetId="27" hidden="1">[1]Acct1!$A$13:$A$44</definedName>
    <definedName name="_Key1" localSheetId="3" hidden="1">[1]Acct1!$A$13:$A$44</definedName>
    <definedName name="_Key1" localSheetId="11" hidden="1">[1]Acct1!$A$13:$A$44</definedName>
    <definedName name="_Key1" localSheetId="51" hidden="1">[1]Acct1!$A$13:$A$44</definedName>
    <definedName name="_Key1" localSheetId="19" hidden="1">[1]Acct1!$A$13:$A$44</definedName>
    <definedName name="_Key1" localSheetId="23" hidden="1">[1]Acct1!$A$13:$A$44</definedName>
    <definedName name="_Key1" localSheetId="79" hidden="1">[1]Acct1!$A$13:$A$44</definedName>
    <definedName name="_Key1" localSheetId="39" hidden="1">[1]Acct1!$A$13:$A$44</definedName>
    <definedName name="_Key1" localSheetId="35" hidden="1">[1]Acct1!$A$13:$A$44</definedName>
    <definedName name="_Key1" localSheetId="88" hidden="1">[1]Acct1!$A$13:$A$44</definedName>
    <definedName name="_Key1" localSheetId="75" hidden="1">[1]Acct1!$A$13:$A$44</definedName>
    <definedName name="_Key1" localSheetId="63" hidden="1">[1]Acct1!$A$13:$A$44</definedName>
    <definedName name="_Key1" localSheetId="83" hidden="1">[1]Acct1!$A$13:$A$44</definedName>
    <definedName name="_Key1" localSheetId="67" hidden="1">[1]Acct1!$A$13:$A$44</definedName>
    <definedName name="_Order1" localSheetId="55" hidden="1">255</definedName>
    <definedName name="_Order1" localSheetId="7" hidden="1">255</definedName>
    <definedName name="_Order1" localSheetId="43" hidden="1">255</definedName>
    <definedName name="_Order1" localSheetId="47" hidden="1">255</definedName>
    <definedName name="_Order1" localSheetId="59" hidden="1">255</definedName>
    <definedName name="_Order1" localSheetId="71" hidden="1">255</definedName>
    <definedName name="_Order1" localSheetId="15" hidden="1">255</definedName>
    <definedName name="_Order1" localSheetId="31" hidden="1">255</definedName>
    <definedName name="_Order1" localSheetId="27" hidden="1">255</definedName>
    <definedName name="_Order1" localSheetId="3" hidden="1">255</definedName>
    <definedName name="_Order1" localSheetId="11" hidden="1">255</definedName>
    <definedName name="_Order1" localSheetId="51" hidden="1">255</definedName>
    <definedName name="_Order1" localSheetId="19" hidden="1">255</definedName>
    <definedName name="_Order1" localSheetId="23" hidden="1">255</definedName>
    <definedName name="_Order1" localSheetId="79" hidden="1">255</definedName>
    <definedName name="_Order1" localSheetId="39" hidden="1">255</definedName>
    <definedName name="_Order1" localSheetId="35" hidden="1">255</definedName>
    <definedName name="_Order1" localSheetId="88" hidden="1">255</definedName>
    <definedName name="_Order1" localSheetId="75" hidden="1">255</definedName>
    <definedName name="_Order1" localSheetId="63" hidden="1">255</definedName>
    <definedName name="_Order1" localSheetId="83" hidden="1">255</definedName>
    <definedName name="_Order1" localSheetId="67" hidden="1">255</definedName>
    <definedName name="_Regression_Int" localSheetId="55" hidden="1">1</definedName>
    <definedName name="_Regression_Int" localSheetId="7" hidden="1">1</definedName>
    <definedName name="_Regression_Int" localSheetId="43" hidden="1">1</definedName>
    <definedName name="_Regression_Int" localSheetId="47" hidden="1">1</definedName>
    <definedName name="_Regression_Int" localSheetId="59" hidden="1">1</definedName>
    <definedName name="_Regression_Int" localSheetId="71" hidden="1">1</definedName>
    <definedName name="_Regression_Int" localSheetId="15" hidden="1">1</definedName>
    <definedName name="_Regression_Int" localSheetId="31" hidden="1">1</definedName>
    <definedName name="_Regression_Int" localSheetId="27" hidden="1">1</definedName>
    <definedName name="_Regression_Int" localSheetId="3" hidden="1">1</definedName>
    <definedName name="_Regression_Int" localSheetId="11" hidden="1">1</definedName>
    <definedName name="_Regression_Int" localSheetId="51" hidden="1">1</definedName>
    <definedName name="_Regression_Int" localSheetId="19" hidden="1">1</definedName>
    <definedName name="_Regression_Int" localSheetId="23" hidden="1">1</definedName>
    <definedName name="_Regression_Int" localSheetId="79" hidden="1">1</definedName>
    <definedName name="_Regression_Int" localSheetId="39" hidden="1">1</definedName>
    <definedName name="_Regression_Int" localSheetId="35" hidden="1">1</definedName>
    <definedName name="_Regression_Int" localSheetId="88" hidden="1">1</definedName>
    <definedName name="_Regression_Int" localSheetId="75" hidden="1">1</definedName>
    <definedName name="_Regression_Int" localSheetId="63" hidden="1">1</definedName>
    <definedName name="_Regression_Int" localSheetId="83" hidden="1">1</definedName>
    <definedName name="_Regression_Int" localSheetId="67" hidden="1">1</definedName>
    <definedName name="_Sort" localSheetId="55" hidden="1">[1]Acct1!$A$13:$A$44</definedName>
    <definedName name="_Sort" localSheetId="7" hidden="1">[1]Acct1!$A$13:$A$44</definedName>
    <definedName name="_Sort" localSheetId="43" hidden="1">[1]Acct1!$A$13:$A$44</definedName>
    <definedName name="_Sort" localSheetId="47" hidden="1">[1]Acct1!$A$13:$A$44</definedName>
    <definedName name="_Sort" localSheetId="59" hidden="1">[1]Acct1!$A$13:$A$44</definedName>
    <definedName name="_Sort" localSheetId="71" hidden="1">[1]Acct1!$A$13:$A$44</definedName>
    <definedName name="_Sort" localSheetId="15" hidden="1">[1]Acct1!$A$13:$A$44</definedName>
    <definedName name="_Sort" localSheetId="31" hidden="1">[1]Acct1!$A$13:$A$44</definedName>
    <definedName name="_Sort" localSheetId="27" hidden="1">[1]Acct1!$A$13:$A$44</definedName>
    <definedName name="_Sort" localSheetId="3" hidden="1">[1]Acct1!$A$13:$A$44</definedName>
    <definedName name="_Sort" localSheetId="11" hidden="1">[1]Acct1!$A$13:$A$44</definedName>
    <definedName name="_Sort" localSheetId="51" hidden="1">[1]Acct1!$A$13:$A$44</definedName>
    <definedName name="_Sort" localSheetId="19" hidden="1">[1]Acct1!$A$13:$A$44</definedName>
    <definedName name="_Sort" localSheetId="23" hidden="1">[1]Acct1!$A$13:$A$44</definedName>
    <definedName name="_Sort" localSheetId="79" hidden="1">[1]Acct1!$A$13:$A$44</definedName>
    <definedName name="_Sort" localSheetId="39" hidden="1">[1]Acct1!$A$13:$A$44</definedName>
    <definedName name="_Sort" localSheetId="35" hidden="1">[1]Acct1!$A$13:$A$44</definedName>
    <definedName name="_Sort" localSheetId="88" hidden="1">[1]Acct1!$A$13:$A$44</definedName>
    <definedName name="_Sort" localSheetId="75" hidden="1">[1]Acct1!$A$13:$A$44</definedName>
    <definedName name="_Sort" localSheetId="63" hidden="1">[1]Acct1!$A$13:$A$44</definedName>
    <definedName name="_Sort" localSheetId="83" hidden="1">[1]Acct1!$A$13:$A$44</definedName>
    <definedName name="_Sort" localSheetId="67" hidden="1">[1]Acct1!$A$13:$A$44</definedName>
    <definedName name="ab">#REF!</definedName>
    <definedName name="b">#REF!</definedName>
    <definedName name="LINE">#REF!</definedName>
    <definedName name="_xlnm.Print_Area" localSheetId="56">'G99B4 Acct1'!$A$1:$M$121</definedName>
    <definedName name="_xlnm.Print_Area" localSheetId="57">'G99B4 Support'!$A$1:$L$127</definedName>
    <definedName name="_xlnm.Print_Area" localSheetId="55">'G99B4 TotalWO'!$A$1:$I$38</definedName>
    <definedName name="_xlnm.Print_Area" localSheetId="8">'G99BW Acct1'!$A$1:$M$121</definedName>
    <definedName name="_xlnm.Print_Area" localSheetId="9">'G99BW Support'!$A$1:$K$116</definedName>
    <definedName name="_xlnm.Print_Area" localSheetId="7">'G99BW TotalWO'!$A$1:$I$38</definedName>
    <definedName name="_xlnm.Print_Area" localSheetId="44">'G99BX Acct1'!$A$1:$M$121</definedName>
    <definedName name="_xlnm.Print_Area" localSheetId="45">'G99BX Support'!$A$1:$L$129</definedName>
    <definedName name="_xlnm.Print_Area" localSheetId="43">'G99BX TotalWO'!$A$1:$I$38</definedName>
    <definedName name="_xlnm.Print_Area" localSheetId="48">'G99HL Acct1'!$A$1:$M$121</definedName>
    <definedName name="_xlnm.Print_Area" localSheetId="49">'G99HL Support'!$A$1:$K$127</definedName>
    <definedName name="_xlnm.Print_Area" localSheetId="47">G99HLTotalWO!$A$1:$I$38</definedName>
    <definedName name="_xlnm.Print_Area" localSheetId="60">'G99I0 Acct1'!$A$1:$M$121</definedName>
    <definedName name="_xlnm.Print_Area" localSheetId="61">'G99I0 Support'!$A$1:$L$123</definedName>
    <definedName name="_xlnm.Print_Area" localSheetId="59">'G99I0 TotalWO'!$A$1:$I$38</definedName>
    <definedName name="_xlnm.Print_Area" localSheetId="72">'G99L3 Acct1'!$A$1:$M$121</definedName>
    <definedName name="_xlnm.Print_Area" localSheetId="73">'G99L3 Support'!$A$1:$L$128</definedName>
    <definedName name="_xlnm.Print_Area" localSheetId="71">'G99L3 TotalWO'!$A$1:$I$38</definedName>
    <definedName name="_xlnm.Print_Area" localSheetId="16">'G9AET Acct1'!$A$1:$M$121</definedName>
    <definedName name="_xlnm.Print_Area" localSheetId="17">'G9AET Support'!$A$1:$L$121</definedName>
    <definedName name="_xlnm.Print_Area" localSheetId="15">'G9AET TotalWO'!$A$1:$I$38</definedName>
    <definedName name="_xlnm.Print_Area" localSheetId="32">'G9AF2 Acct1'!$A$1:$M$121</definedName>
    <definedName name="_xlnm.Print_Area" localSheetId="33">'G9AF2 Support'!$A$1:$L$129</definedName>
    <definedName name="_xlnm.Print_Area" localSheetId="31">'G9AF2 TotalWO'!$A$1:$I$38</definedName>
    <definedName name="_xlnm.Print_Area" localSheetId="28">'G9AM4 Acct1'!$A$1:$M$121</definedName>
    <definedName name="_xlnm.Print_Area" localSheetId="29">'G9AM4 Support'!$A$1:$L$128</definedName>
    <definedName name="_xlnm.Print_Area" localSheetId="27">'G9AM4 TotalWO'!$A$1:$I$38</definedName>
    <definedName name="_xlnm.Print_Area" localSheetId="4">'G9B6U Acct1'!$A$1:$M$121</definedName>
    <definedName name="_xlnm.Print_Area" localSheetId="5">'G9B6U Support'!$A$1:$L$121</definedName>
    <definedName name="_xlnm.Print_Area" localSheetId="3">'G9B6U TotalWO'!$A$1:$I$38</definedName>
    <definedName name="_xlnm.Print_Area" localSheetId="12">'G9BAL Acct1'!$A$1:$M$121</definedName>
    <definedName name="_xlnm.Print_Area" localSheetId="13">'G9BAL Support'!$A$1:$L$127</definedName>
    <definedName name="_xlnm.Print_Area" localSheetId="11">'G9BAL TotalWO'!$A$1:$I$38</definedName>
    <definedName name="_xlnm.Print_Area" localSheetId="52">'G9BAM Acct1'!$A$1:$M$121</definedName>
    <definedName name="_xlnm.Print_Area" localSheetId="53">'G9BAM Support'!$A$1:$L$129</definedName>
    <definedName name="_xlnm.Print_Area" localSheetId="51">'G9BAM TotalWO'!$A$1:$I$38</definedName>
    <definedName name="_xlnm.Print_Area" localSheetId="20">'G9BDB Acct1'!$A$1:$M$121</definedName>
    <definedName name="_xlnm.Print_Area" localSheetId="21">'G9BDB Support'!$A$1:$L$128</definedName>
    <definedName name="_xlnm.Print_Area" localSheetId="19">'G9BDB TotalWO'!$A$1:$I$38</definedName>
    <definedName name="_xlnm.Print_Area" localSheetId="24">'G9BDC Acct1'!$A$1:$M$121</definedName>
    <definedName name="_xlnm.Print_Area" localSheetId="25">'G9BDC Support'!$A$1:$L$127</definedName>
    <definedName name="_xlnm.Print_Area" localSheetId="23">'G9BDC TotalWO'!$A$1:$I$38</definedName>
    <definedName name="_xlnm.Print_Area" localSheetId="80">'G9BDG Acct1'!$A$1:$M$121</definedName>
    <definedName name="_xlnm.Print_Area" localSheetId="81">'G9BDG Support'!$A$1:$L$129</definedName>
    <definedName name="_xlnm.Print_Area" localSheetId="79">'G9BDG TotalWO'!$A$1:$I$38</definedName>
    <definedName name="_xlnm.Print_Area" localSheetId="40">'G9BDH Acct1'!$A$1:$M$121</definedName>
    <definedName name="_xlnm.Print_Area" localSheetId="41">'G9BDH Support'!$A$1:$N$127</definedName>
    <definedName name="_xlnm.Print_Area" localSheetId="39">'G9BDH TotalWO'!$A$1:$I$38</definedName>
    <definedName name="_xlnm.Print_Area" localSheetId="36">'G9BDJ  Acct1'!$A$1:$M$121</definedName>
    <definedName name="_xlnm.Print_Area" localSheetId="37">'G9BDJ  Support'!$A$1:$L$129</definedName>
    <definedName name="_xlnm.Print_Area" localSheetId="35">'G9BDJ  TotalWO'!$A$1:$I$38</definedName>
    <definedName name="_xlnm.Print_Area" localSheetId="89">'G9BDL Acct1'!$A$1:$M$121</definedName>
    <definedName name="_xlnm.Print_Area" localSheetId="90">'G9BDL Support'!$A$1:$N$124</definedName>
    <definedName name="_xlnm.Print_Area" localSheetId="88">'G9BDL TotalWO'!$A$1:$I$38</definedName>
    <definedName name="_xlnm.Print_Area" localSheetId="76">'G9BDM Acct1'!$A$1:$M$121</definedName>
    <definedName name="_xlnm.Print_Area" localSheetId="77">'G9BDM Support'!$A$1:$L$128</definedName>
    <definedName name="_xlnm.Print_Area" localSheetId="75">'G9BDM TotalWO'!$A$1:$I$38</definedName>
    <definedName name="_xlnm.Print_Area" localSheetId="64">'G9BDN Acct1'!$A$1:$M$121</definedName>
    <definedName name="_xlnm.Print_Area" localSheetId="65">'G9BDN Support'!$A$1:$L$127</definedName>
    <definedName name="_xlnm.Print_Area" localSheetId="63">'G9BDN TotalWO'!$A$1:$I$38</definedName>
    <definedName name="_xlnm.Print_Area" localSheetId="84">'G9BDQ Acct1'!$A$1:$M$121</definedName>
    <definedName name="_xlnm.Print_Area" localSheetId="85">'G9BDQ Acct2'!$A$1:$M$121</definedName>
    <definedName name="_xlnm.Print_Area" localSheetId="86">'G9BDQ Support'!$A$1:$L$129</definedName>
    <definedName name="_xlnm.Print_Area" localSheetId="83">'G9BDQ TotalWO'!$A$1:$I$38</definedName>
    <definedName name="_xlnm.Print_Area" localSheetId="68">'G9BDU Acct1'!$A$1:$M$121</definedName>
    <definedName name="_xlnm.Print_Area" localSheetId="69">'G9BDU Support'!$A$1:$L$129</definedName>
    <definedName name="_xlnm.Print_Area" localSheetId="67">'G9BDU TotalWO'!$A$1:$I$38</definedName>
    <definedName name="_xlnm.Print_Area" localSheetId="0">'WP C, pg 1'!$A$1:$H$35</definedName>
    <definedName name="_xlnm.Print_Area" localSheetId="1">'WP C, pg 2 &amp; 3'!$A$1:$T$92</definedName>
  </definedNames>
  <calcPr calcId="191028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3" l="1"/>
  <c r="T76" i="2" l="1"/>
  <c r="R76" i="2"/>
  <c r="L76" i="2"/>
  <c r="P76" i="2" s="1"/>
  <c r="T64" i="2"/>
  <c r="R64" i="2"/>
  <c r="L64" i="2"/>
  <c r="P64" i="2"/>
  <c r="L33" i="2"/>
  <c r="P33" i="2"/>
  <c r="P21" i="2"/>
  <c r="L21" i="2"/>
  <c r="B64" i="2"/>
  <c r="A65" i="2"/>
  <c r="B65" i="2"/>
  <c r="D65" i="2"/>
  <c r="B76" i="2"/>
  <c r="D76" i="2"/>
  <c r="A64" i="2"/>
  <c r="D64" i="2"/>
  <c r="A55" i="2"/>
  <c r="A3" i="92"/>
  <c r="A6" i="95"/>
  <c r="A76" i="95" s="1"/>
  <c r="A6" i="94"/>
  <c r="A83" i="94" s="1"/>
  <c r="A8" i="94"/>
  <c r="E11" i="94"/>
  <c r="E15" i="94"/>
  <c r="G15" i="94"/>
  <c r="I15" i="94" s="1"/>
  <c r="A16" i="94"/>
  <c r="C16" i="94"/>
  <c r="C53" i="94" s="1"/>
  <c r="A17" i="94"/>
  <c r="A18" i="94" s="1"/>
  <c r="A19" i="94" s="1"/>
  <c r="A20" i="94" s="1"/>
  <c r="A21" i="94" s="1"/>
  <c r="A22" i="94" s="1"/>
  <c r="A23" i="94" s="1"/>
  <c r="A24" i="94" s="1"/>
  <c r="A25" i="94" s="1"/>
  <c r="A26" i="94" s="1"/>
  <c r="A27" i="94" s="1"/>
  <c r="A28" i="94" s="1"/>
  <c r="A29" i="94" s="1"/>
  <c r="A30" i="94" s="1"/>
  <c r="A31" i="94" s="1"/>
  <c r="A32" i="94" s="1"/>
  <c r="A33" i="94" s="1"/>
  <c r="A34" i="94" s="1"/>
  <c r="A35" i="94" s="1"/>
  <c r="A36" i="94" s="1"/>
  <c r="A37" i="94" s="1"/>
  <c r="A38" i="94" s="1"/>
  <c r="C17" i="94"/>
  <c r="C18" i="94" s="1"/>
  <c r="C19" i="94" s="1"/>
  <c r="E19" i="94"/>
  <c r="C20" i="94"/>
  <c r="C21" i="94" s="1"/>
  <c r="C22" i="94" s="1"/>
  <c r="C23" i="94" s="1"/>
  <c r="C24" i="94" s="1"/>
  <c r="C25" i="94" s="1"/>
  <c r="C26" i="94" s="1"/>
  <c r="C27" i="94" s="1"/>
  <c r="E23" i="94"/>
  <c r="G26" i="94"/>
  <c r="E49" i="94"/>
  <c r="A54" i="94"/>
  <c r="A55" i="94" s="1"/>
  <c r="C54" i="94"/>
  <c r="C55" i="94" s="1"/>
  <c r="C56" i="94" s="1"/>
  <c r="C57" i="94" s="1"/>
  <c r="C58" i="94" s="1"/>
  <c r="C59" i="94" s="1"/>
  <c r="C60" i="94" s="1"/>
  <c r="C61" i="94" s="1"/>
  <c r="C62" i="94" s="1"/>
  <c r="C63" i="94" s="1"/>
  <c r="C64" i="94" s="1"/>
  <c r="A56" i="94"/>
  <c r="A57" i="94" s="1"/>
  <c r="A58" i="94" s="1"/>
  <c r="A59" i="94" s="1"/>
  <c r="A60" i="94" s="1"/>
  <c r="A61" i="94" s="1"/>
  <c r="A62" i="94" s="1"/>
  <c r="A63" i="94" s="1"/>
  <c r="A64" i="94" s="1"/>
  <c r="A65" i="94" s="1"/>
  <c r="A66" i="94" s="1"/>
  <c r="A67" i="94" s="1"/>
  <c r="A68" i="94" s="1"/>
  <c r="A69" i="94" s="1"/>
  <c r="A70" i="94" s="1"/>
  <c r="A71" i="94" s="1"/>
  <c r="A72" i="94" s="1"/>
  <c r="A73" i="94" s="1"/>
  <c r="A74" i="94" s="1"/>
  <c r="A75" i="94" s="1"/>
  <c r="A76" i="94" s="1"/>
  <c r="A77" i="94" s="1"/>
  <c r="C73" i="94"/>
  <c r="K73" i="94"/>
  <c r="M73" i="94"/>
  <c r="E88" i="94"/>
  <c r="I92" i="94"/>
  <c r="A93" i="94"/>
  <c r="C93" i="94"/>
  <c r="C94" i="94" s="1"/>
  <c r="C95" i="94" s="1"/>
  <c r="C96" i="94" s="1"/>
  <c r="C97" i="94" s="1"/>
  <c r="C98" i="94" s="1"/>
  <c r="C99" i="94" s="1"/>
  <c r="C100" i="94" s="1"/>
  <c r="C101" i="94" s="1"/>
  <c r="C102" i="94" s="1"/>
  <c r="C103" i="94" s="1"/>
  <c r="C104" i="94" s="1"/>
  <c r="A94" i="94"/>
  <c r="A95" i="94" s="1"/>
  <c r="A96" i="94" s="1"/>
  <c r="A97" i="94" s="1"/>
  <c r="A98" i="94" s="1"/>
  <c r="A99" i="94" s="1"/>
  <c r="A100" i="94" s="1"/>
  <c r="A101" i="94" s="1"/>
  <c r="A102" i="94" s="1"/>
  <c r="A103" i="94" s="1"/>
  <c r="A104" i="94" s="1"/>
  <c r="A105" i="94" s="1"/>
  <c r="A106" i="94" s="1"/>
  <c r="A107" i="94" s="1"/>
  <c r="A108" i="94" s="1"/>
  <c r="A109" i="94" s="1"/>
  <c r="A110" i="94" s="1"/>
  <c r="A111" i="94" s="1"/>
  <c r="A112" i="94" s="1"/>
  <c r="A113" i="94" s="1"/>
  <c r="A114" i="94" s="1"/>
  <c r="A115" i="94" s="1"/>
  <c r="A116" i="94" s="1"/>
  <c r="A117" i="94" s="1"/>
  <c r="A118" i="94" s="1"/>
  <c r="A119" i="94" s="1"/>
  <c r="A120" i="94" s="1"/>
  <c r="A121" i="94" s="1"/>
  <c r="C116" i="94"/>
  <c r="A6" i="93"/>
  <c r="C15" i="93"/>
  <c r="C15" i="94" s="1"/>
  <c r="C92" i="94" s="1"/>
  <c r="E15" i="93"/>
  <c r="G15" i="93"/>
  <c r="I15" i="93" s="1"/>
  <c r="A16" i="93"/>
  <c r="C16" i="93"/>
  <c r="E16" i="93"/>
  <c r="E28" i="93" s="1"/>
  <c r="E30" i="93" s="1"/>
  <c r="G16" i="93"/>
  <c r="G20" i="93" s="1"/>
  <c r="A17" i="93"/>
  <c r="E17" i="93"/>
  <c r="E17" i="94" s="1"/>
  <c r="A18" i="93"/>
  <c r="E18" i="93"/>
  <c r="E18" i="94" s="1"/>
  <c r="A19" i="93"/>
  <c r="A20" i="93" s="1"/>
  <c r="A21" i="93" s="1"/>
  <c r="E19" i="93"/>
  <c r="G19" i="93"/>
  <c r="I19" i="93" s="1"/>
  <c r="E20" i="93"/>
  <c r="E20" i="94" s="1"/>
  <c r="E21" i="93"/>
  <c r="E21" i="94" s="1"/>
  <c r="A22" i="93"/>
  <c r="E22" i="93"/>
  <c r="E22" i="94" s="1"/>
  <c r="A23" i="93"/>
  <c r="A24" i="93" s="1"/>
  <c r="A25" i="93" s="1"/>
  <c r="A26" i="93" s="1"/>
  <c r="A27" i="93" s="1"/>
  <c r="A28" i="93" s="1"/>
  <c r="A29" i="93" s="1"/>
  <c r="A30" i="93" s="1"/>
  <c r="A31" i="93" s="1"/>
  <c r="A32" i="93" s="1"/>
  <c r="A33" i="93" s="1"/>
  <c r="A34" i="93" s="1"/>
  <c r="A35" i="93" s="1"/>
  <c r="A36" i="93" s="1"/>
  <c r="A37" i="93" s="1"/>
  <c r="A38" i="93" s="1"/>
  <c r="E23" i="93"/>
  <c r="G23" i="93"/>
  <c r="G23" i="94" s="1"/>
  <c r="E24" i="93"/>
  <c r="E24" i="94" s="1"/>
  <c r="E25" i="93"/>
  <c r="E25" i="94" s="1"/>
  <c r="E26" i="93"/>
  <c r="E26" i="94" s="1"/>
  <c r="G26" i="93"/>
  <c r="I26" i="93" s="1"/>
  <c r="E27" i="93"/>
  <c r="E27" i="94" s="1"/>
  <c r="G27" i="93"/>
  <c r="G27" i="94" s="1"/>
  <c r="I27" i="94" s="1"/>
  <c r="I27" i="93"/>
  <c r="J13" i="92"/>
  <c r="E73" i="94" s="1"/>
  <c r="E116" i="94" s="1"/>
  <c r="B15" i="92"/>
  <c r="B16" i="92" s="1"/>
  <c r="A3" i="90"/>
  <c r="A3" i="89"/>
  <c r="A3" i="88"/>
  <c r="A6" i="91"/>
  <c r="A74" i="91" s="1"/>
  <c r="A6" i="90"/>
  <c r="A8" i="90"/>
  <c r="E11" i="90"/>
  <c r="E49" i="90" s="1"/>
  <c r="C73" i="90" s="1"/>
  <c r="C116" i="90" s="1"/>
  <c r="A16" i="90"/>
  <c r="G16" i="90"/>
  <c r="A17" i="90"/>
  <c r="A18" i="90" s="1"/>
  <c r="A19" i="90" s="1"/>
  <c r="A20" i="90" s="1"/>
  <c r="A21" i="90" s="1"/>
  <c r="A22" i="90" s="1"/>
  <c r="A23" i="90" s="1"/>
  <c r="A24" i="90" s="1"/>
  <c r="A25" i="90" s="1"/>
  <c r="A26" i="90" s="1"/>
  <c r="A27" i="90" s="1"/>
  <c r="A28" i="90" s="1"/>
  <c r="A29" i="90" s="1"/>
  <c r="A30" i="90" s="1"/>
  <c r="A31" i="90" s="1"/>
  <c r="A32" i="90" s="1"/>
  <c r="A33" i="90" s="1"/>
  <c r="A34" i="90" s="1"/>
  <c r="A35" i="90" s="1"/>
  <c r="A36" i="90" s="1"/>
  <c r="A37" i="90" s="1"/>
  <c r="A38" i="90" s="1"/>
  <c r="E17" i="90"/>
  <c r="G20" i="90"/>
  <c r="E21" i="90"/>
  <c r="G24" i="90"/>
  <c r="I27" i="90"/>
  <c r="A44" i="90"/>
  <c r="A54" i="90"/>
  <c r="A55" i="90"/>
  <c r="A56" i="90" s="1"/>
  <c r="A57" i="90" s="1"/>
  <c r="A58" i="90" s="1"/>
  <c r="A59" i="90" s="1"/>
  <c r="A60" i="90" s="1"/>
  <c r="A61" i="90" s="1"/>
  <c r="A62" i="90" s="1"/>
  <c r="A63" i="90" s="1"/>
  <c r="A64" i="90" s="1"/>
  <c r="A65" i="90" s="1"/>
  <c r="A66" i="90" s="1"/>
  <c r="A67" i="90" s="1"/>
  <c r="A68" i="90" s="1"/>
  <c r="A69" i="90" s="1"/>
  <c r="A70" i="90" s="1"/>
  <c r="A71" i="90" s="1"/>
  <c r="A72" i="90" s="1"/>
  <c r="A73" i="90" s="1"/>
  <c r="A74" i="90" s="1"/>
  <c r="A75" i="90" s="1"/>
  <c r="A76" i="90" s="1"/>
  <c r="A77" i="90" s="1"/>
  <c r="K67" i="90"/>
  <c r="K73" i="90"/>
  <c r="M73" i="90"/>
  <c r="A83" i="90"/>
  <c r="I92" i="90"/>
  <c r="A93" i="90"/>
  <c r="C93" i="90"/>
  <c r="A94" i="90"/>
  <c r="A95" i="90" s="1"/>
  <c r="A96" i="90" s="1"/>
  <c r="A97" i="90" s="1"/>
  <c r="A98" i="90" s="1"/>
  <c r="A99" i="90" s="1"/>
  <c r="A100" i="90" s="1"/>
  <c r="A101" i="90" s="1"/>
  <c r="A102" i="90" s="1"/>
  <c r="A103" i="90" s="1"/>
  <c r="A104" i="90" s="1"/>
  <c r="A105" i="90" s="1"/>
  <c r="C94" i="90"/>
  <c r="C95" i="90" s="1"/>
  <c r="C96" i="90"/>
  <c r="C97" i="90" s="1"/>
  <c r="C98" i="90" s="1"/>
  <c r="C99" i="90" s="1"/>
  <c r="C100" i="90" s="1"/>
  <c r="C101" i="90" s="1"/>
  <c r="C102" i="90" s="1"/>
  <c r="C103" i="90" s="1"/>
  <c r="C104" i="90" s="1"/>
  <c r="A106" i="90"/>
  <c r="A107" i="90" s="1"/>
  <c r="A108" i="90"/>
  <c r="A109" i="90" s="1"/>
  <c r="A110" i="90" s="1"/>
  <c r="A111" i="90" s="1"/>
  <c r="A112" i="90" s="1"/>
  <c r="A113" i="90" s="1"/>
  <c r="A114" i="90"/>
  <c r="A115" i="90" s="1"/>
  <c r="A116" i="90" s="1"/>
  <c r="A117" i="90" s="1"/>
  <c r="A118" i="90" s="1"/>
  <c r="A119" i="90"/>
  <c r="A120" i="90" s="1"/>
  <c r="A121" i="90" s="1"/>
  <c r="A6" i="89"/>
  <c r="C15" i="89"/>
  <c r="C15" i="90" s="1"/>
  <c r="C92" i="90" s="1"/>
  <c r="E15" i="89"/>
  <c r="E15" i="90" s="1"/>
  <c r="G15" i="89"/>
  <c r="A16" i="89"/>
  <c r="A17" i="89" s="1"/>
  <c r="C16" i="89"/>
  <c r="C16" i="90" s="1"/>
  <c r="E16" i="89"/>
  <c r="E16" i="90" s="1"/>
  <c r="G16" i="89"/>
  <c r="G18" i="89" s="1"/>
  <c r="I16" i="89"/>
  <c r="E17" i="89"/>
  <c r="G17" i="89"/>
  <c r="A18" i="89"/>
  <c r="A19" i="89" s="1"/>
  <c r="A20" i="89" s="1"/>
  <c r="A21" i="89" s="1"/>
  <c r="A22" i="89" s="1"/>
  <c r="A23" i="89" s="1"/>
  <c r="A24" i="89" s="1"/>
  <c r="A25" i="89" s="1"/>
  <c r="A26" i="89" s="1"/>
  <c r="A27" i="89" s="1"/>
  <c r="A28" i="89" s="1"/>
  <c r="A29" i="89" s="1"/>
  <c r="A30" i="89" s="1"/>
  <c r="A31" i="89" s="1"/>
  <c r="A32" i="89" s="1"/>
  <c r="A33" i="89" s="1"/>
  <c r="A34" i="89" s="1"/>
  <c r="A35" i="89" s="1"/>
  <c r="A36" i="89" s="1"/>
  <c r="A37" i="89" s="1"/>
  <c r="A38" i="89" s="1"/>
  <c r="E18" i="89"/>
  <c r="E18" i="90" s="1"/>
  <c r="E19" i="89"/>
  <c r="E19" i="90" s="1"/>
  <c r="G19" i="89"/>
  <c r="E20" i="89"/>
  <c r="G20" i="89"/>
  <c r="E21" i="89"/>
  <c r="G21" i="89"/>
  <c r="E22" i="89"/>
  <c r="G22" i="89"/>
  <c r="G22" i="90" s="1"/>
  <c r="E23" i="89"/>
  <c r="E23" i="90" s="1"/>
  <c r="G23" i="89"/>
  <c r="G23" i="90" s="1"/>
  <c r="I23" i="89"/>
  <c r="E24" i="89"/>
  <c r="G24" i="89"/>
  <c r="E25" i="89"/>
  <c r="E25" i="90" s="1"/>
  <c r="G25" i="89"/>
  <c r="E26" i="89"/>
  <c r="G26" i="89"/>
  <c r="G26" i="90" s="1"/>
  <c r="E27" i="89"/>
  <c r="E27" i="90" s="1"/>
  <c r="G27" i="89"/>
  <c r="G27" i="90" s="1"/>
  <c r="I27" i="89"/>
  <c r="J13" i="88"/>
  <c r="E73" i="90" s="1"/>
  <c r="E116" i="90" s="1"/>
  <c r="B15" i="88"/>
  <c r="C17" i="89" s="1"/>
  <c r="B16" i="88"/>
  <c r="A6" i="48"/>
  <c r="G20" i="94" l="1"/>
  <c r="I20" i="93"/>
  <c r="B17" i="92"/>
  <c r="C18" i="93"/>
  <c r="I23" i="94"/>
  <c r="G24" i="93"/>
  <c r="A44" i="94"/>
  <c r="G19" i="94"/>
  <c r="E16" i="94"/>
  <c r="E56" i="94"/>
  <c r="G16" i="94"/>
  <c r="I16" i="93"/>
  <c r="G17" i="93"/>
  <c r="G21" i="93"/>
  <c r="G25" i="93"/>
  <c r="G18" i="93"/>
  <c r="G22" i="93"/>
  <c r="G73" i="94"/>
  <c r="E62" i="94" s="1"/>
  <c r="C17" i="93"/>
  <c r="A3" i="94"/>
  <c r="A3" i="93"/>
  <c r="E64" i="94"/>
  <c r="I23" i="93"/>
  <c r="I26" i="94"/>
  <c r="A3" i="95"/>
  <c r="A73" i="95" s="1"/>
  <c r="A3" i="91"/>
  <c r="A71" i="91" s="1"/>
  <c r="E24" i="90"/>
  <c r="I24" i="89"/>
  <c r="I23" i="90"/>
  <c r="G21" i="90"/>
  <c r="I21" i="89"/>
  <c r="G18" i="90"/>
  <c r="I18" i="89"/>
  <c r="G15" i="90"/>
  <c r="I15" i="90" s="1"/>
  <c r="I15" i="89"/>
  <c r="I24" i="90"/>
  <c r="G17" i="90"/>
  <c r="I17" i="89"/>
  <c r="G28" i="89"/>
  <c r="G30" i="89" s="1"/>
  <c r="E26" i="90"/>
  <c r="I26" i="89"/>
  <c r="I22" i="90"/>
  <c r="C18" i="89"/>
  <c r="B17" i="88"/>
  <c r="E63" i="90"/>
  <c r="E59" i="90"/>
  <c r="E22" i="90"/>
  <c r="I22" i="89"/>
  <c r="E20" i="90"/>
  <c r="E58" i="90" s="1"/>
  <c r="I20" i="89"/>
  <c r="E88" i="90"/>
  <c r="G73" i="90"/>
  <c r="G60" i="90" s="1"/>
  <c r="I20" i="90"/>
  <c r="G58" i="90"/>
  <c r="I58" i="90" s="1"/>
  <c r="E28" i="90"/>
  <c r="E30" i="90" s="1"/>
  <c r="E53" i="90"/>
  <c r="E54" i="90"/>
  <c r="E28" i="89"/>
  <c r="E30" i="89" s="1"/>
  <c r="G64" i="90"/>
  <c r="I26" i="90"/>
  <c r="G25" i="90"/>
  <c r="I25" i="89"/>
  <c r="G61" i="90"/>
  <c r="G19" i="90"/>
  <c r="I19" i="89"/>
  <c r="C53" i="90"/>
  <c r="C54" i="90" s="1"/>
  <c r="C55" i="90" s="1"/>
  <c r="C56" i="90" s="1"/>
  <c r="C57" i="90" s="1"/>
  <c r="C58" i="90" s="1"/>
  <c r="C59" i="90" s="1"/>
  <c r="C60" i="90" s="1"/>
  <c r="C61" i="90" s="1"/>
  <c r="C62" i="90" s="1"/>
  <c r="C63" i="90" s="1"/>
  <c r="C64" i="90" s="1"/>
  <c r="C17" i="90"/>
  <c r="C18" i="90" s="1"/>
  <c r="C19" i="90" s="1"/>
  <c r="C20" i="90" s="1"/>
  <c r="C21" i="90" s="1"/>
  <c r="C22" i="90" s="1"/>
  <c r="C23" i="90" s="1"/>
  <c r="C24" i="90" s="1"/>
  <c r="C25" i="90" s="1"/>
  <c r="C26" i="90" s="1"/>
  <c r="C27" i="90" s="1"/>
  <c r="I16" i="90"/>
  <c r="G54" i="90"/>
  <c r="I54" i="90" s="1"/>
  <c r="G28" i="90"/>
  <c r="G30" i="90" s="1"/>
  <c r="G53" i="90"/>
  <c r="A6" i="11"/>
  <c r="A73" i="11" s="1"/>
  <c r="J14" i="82"/>
  <c r="I18" i="93" l="1"/>
  <c r="G18" i="94"/>
  <c r="I22" i="93"/>
  <c r="G22" i="94"/>
  <c r="G17" i="94"/>
  <c r="I17" i="93"/>
  <c r="G28" i="93"/>
  <c r="G30" i="93" s="1"/>
  <c r="I19" i="94"/>
  <c r="G57" i="94"/>
  <c r="E61" i="94"/>
  <c r="E59" i="94"/>
  <c r="E63" i="94"/>
  <c r="G25" i="94"/>
  <c r="I25" i="93"/>
  <c r="K67" i="94"/>
  <c r="I16" i="94"/>
  <c r="G54" i="94"/>
  <c r="G53" i="94"/>
  <c r="G24" i="94"/>
  <c r="I24" i="93"/>
  <c r="E55" i="94"/>
  <c r="C19" i="93"/>
  <c r="B18" i="92"/>
  <c r="I20" i="94"/>
  <c r="G58" i="94"/>
  <c r="A41" i="94"/>
  <c r="A80" i="94"/>
  <c r="G116" i="94"/>
  <c r="E53" i="94"/>
  <c r="E57" i="94"/>
  <c r="G21" i="94"/>
  <c r="G28" i="94" s="1"/>
  <c r="G30" i="94" s="1"/>
  <c r="I21" i="93"/>
  <c r="I28" i="93" s="1"/>
  <c r="I30" i="93" s="1"/>
  <c r="I33" i="93" s="1"/>
  <c r="G64" i="94"/>
  <c r="I64" i="94" s="1"/>
  <c r="E54" i="94"/>
  <c r="E28" i="94"/>
  <c r="E30" i="94" s="1"/>
  <c r="E60" i="94"/>
  <c r="G61" i="94"/>
  <c r="I61" i="94" s="1"/>
  <c r="E58" i="94"/>
  <c r="E60" i="90"/>
  <c r="I60" i="90" s="1"/>
  <c r="E64" i="90"/>
  <c r="E57" i="90"/>
  <c r="E55" i="90"/>
  <c r="E65" i="90" s="1"/>
  <c r="I21" i="90"/>
  <c r="G59" i="90"/>
  <c r="I59" i="90" s="1"/>
  <c r="E62" i="90"/>
  <c r="E93" i="90"/>
  <c r="G62" i="90"/>
  <c r="I62" i="90" s="1"/>
  <c r="E61" i="90"/>
  <c r="A41" i="90"/>
  <c r="A80" i="90"/>
  <c r="G93" i="90"/>
  <c r="I53" i="90"/>
  <c r="I25" i="90"/>
  <c r="G63" i="90"/>
  <c r="I63" i="90" s="1"/>
  <c r="G57" i="90"/>
  <c r="I57" i="90" s="1"/>
  <c r="I19" i="90"/>
  <c r="I28" i="89"/>
  <c r="I30" i="89" s="1"/>
  <c r="I33" i="89" s="1"/>
  <c r="G56" i="90"/>
  <c r="I18" i="90"/>
  <c r="I61" i="90"/>
  <c r="I64" i="90"/>
  <c r="G116" i="90"/>
  <c r="E56" i="90"/>
  <c r="B18" i="88"/>
  <c r="C19" i="89"/>
  <c r="I17" i="90"/>
  <c r="I28" i="90" s="1"/>
  <c r="I30" i="90" s="1"/>
  <c r="I33" i="90" s="1"/>
  <c r="G55" i="90"/>
  <c r="I55" i="90" s="1"/>
  <c r="J13" i="82"/>
  <c r="J13" i="57"/>
  <c r="J13" i="53"/>
  <c r="J13" i="49"/>
  <c r="J13" i="45"/>
  <c r="J13" i="41"/>
  <c r="J13" i="37"/>
  <c r="J13" i="32"/>
  <c r="J13" i="28"/>
  <c r="J13" i="73"/>
  <c r="J13" i="69"/>
  <c r="J13" i="24"/>
  <c r="J13" i="20"/>
  <c r="J13" i="16"/>
  <c r="J13" i="12"/>
  <c r="J13" i="7"/>
  <c r="J13" i="3"/>
  <c r="L32" i="2"/>
  <c r="P32" i="2" s="1"/>
  <c r="A6" i="86"/>
  <c r="A73" i="86" s="1"/>
  <c r="A94" i="85"/>
  <c r="A95" i="85" s="1"/>
  <c r="A96" i="85" s="1"/>
  <c r="A97" i="85" s="1"/>
  <c r="A98" i="85" s="1"/>
  <c r="A99" i="85" s="1"/>
  <c r="A100" i="85" s="1"/>
  <c r="A101" i="85" s="1"/>
  <c r="A102" i="85" s="1"/>
  <c r="A103" i="85" s="1"/>
  <c r="A104" i="85" s="1"/>
  <c r="A105" i="85" s="1"/>
  <c r="A106" i="85" s="1"/>
  <c r="A107" i="85" s="1"/>
  <c r="A108" i="85" s="1"/>
  <c r="A109" i="85" s="1"/>
  <c r="A110" i="85" s="1"/>
  <c r="A111" i="85" s="1"/>
  <c r="A112" i="85" s="1"/>
  <c r="A113" i="85" s="1"/>
  <c r="A114" i="85" s="1"/>
  <c r="A115" i="85" s="1"/>
  <c r="A116" i="85" s="1"/>
  <c r="A117" i="85" s="1"/>
  <c r="A118" i="85" s="1"/>
  <c r="A119" i="85" s="1"/>
  <c r="A120" i="85" s="1"/>
  <c r="A121" i="85" s="1"/>
  <c r="A93" i="85"/>
  <c r="I92" i="85"/>
  <c r="M73" i="85"/>
  <c r="K73" i="85"/>
  <c r="A58" i="85"/>
  <c r="A59" i="85" s="1"/>
  <c r="A60" i="85" s="1"/>
  <c r="A61" i="85" s="1"/>
  <c r="A62" i="85" s="1"/>
  <c r="A63" i="85" s="1"/>
  <c r="A64" i="85" s="1"/>
  <c r="A65" i="85" s="1"/>
  <c r="A66" i="85" s="1"/>
  <c r="A67" i="85" s="1"/>
  <c r="A68" i="85" s="1"/>
  <c r="A69" i="85" s="1"/>
  <c r="A70" i="85" s="1"/>
  <c r="A71" i="85" s="1"/>
  <c r="A72" i="85" s="1"/>
  <c r="A73" i="85" s="1"/>
  <c r="A74" i="85" s="1"/>
  <c r="A75" i="85" s="1"/>
  <c r="A76" i="85" s="1"/>
  <c r="A77" i="85" s="1"/>
  <c r="A56" i="85"/>
  <c r="A57" i="85" s="1"/>
  <c r="A54" i="85"/>
  <c r="A55" i="85" s="1"/>
  <c r="C53" i="85"/>
  <c r="C54" i="85" s="1"/>
  <c r="C55" i="85" s="1"/>
  <c r="C56" i="85" s="1"/>
  <c r="C57" i="85" s="1"/>
  <c r="C58" i="85" s="1"/>
  <c r="C59" i="85" s="1"/>
  <c r="C60" i="85" s="1"/>
  <c r="C61" i="85" s="1"/>
  <c r="C62" i="85" s="1"/>
  <c r="C63" i="85" s="1"/>
  <c r="C64" i="85" s="1"/>
  <c r="E26" i="85"/>
  <c r="E22" i="85"/>
  <c r="E18" i="85"/>
  <c r="C17" i="85"/>
  <c r="C18" i="85" s="1"/>
  <c r="C19" i="85" s="1"/>
  <c r="C20" i="85" s="1"/>
  <c r="C21" i="85" s="1"/>
  <c r="C22" i="85" s="1"/>
  <c r="C23" i="85" s="1"/>
  <c r="C24" i="85" s="1"/>
  <c r="C25" i="85" s="1"/>
  <c r="C26" i="85" s="1"/>
  <c r="C27" i="85" s="1"/>
  <c r="A17" i="85"/>
  <c r="A18" i="85" s="1"/>
  <c r="A19" i="85" s="1"/>
  <c r="A20" i="85" s="1"/>
  <c r="A21" i="85" s="1"/>
  <c r="A22" i="85" s="1"/>
  <c r="A23" i="85" s="1"/>
  <c r="A24" i="85" s="1"/>
  <c r="A25" i="85" s="1"/>
  <c r="A26" i="85" s="1"/>
  <c r="A27" i="85" s="1"/>
  <c r="A28" i="85" s="1"/>
  <c r="A29" i="85" s="1"/>
  <c r="A30" i="85" s="1"/>
  <c r="A31" i="85" s="1"/>
  <c r="A32" i="85" s="1"/>
  <c r="A33" i="85" s="1"/>
  <c r="A34" i="85" s="1"/>
  <c r="A35" i="85" s="1"/>
  <c r="A36" i="85" s="1"/>
  <c r="A37" i="85" s="1"/>
  <c r="A38" i="85" s="1"/>
  <c r="C16" i="85"/>
  <c r="C93" i="85" s="1"/>
  <c r="C94" i="85" s="1"/>
  <c r="C95" i="85" s="1"/>
  <c r="C96" i="85" s="1"/>
  <c r="C97" i="85" s="1"/>
  <c r="C98" i="85" s="1"/>
  <c r="C99" i="85" s="1"/>
  <c r="C100" i="85" s="1"/>
  <c r="C101" i="85" s="1"/>
  <c r="C102" i="85" s="1"/>
  <c r="C103" i="85" s="1"/>
  <c r="C104" i="85" s="1"/>
  <c r="A16" i="85"/>
  <c r="C15" i="85"/>
  <c r="C92" i="85" s="1"/>
  <c r="E11" i="85"/>
  <c r="E49" i="85" s="1"/>
  <c r="C73" i="85" s="1"/>
  <c r="C116" i="85" s="1"/>
  <c r="A8" i="85"/>
  <c r="A6" i="85"/>
  <c r="A44" i="85" s="1"/>
  <c r="C99" i="84"/>
  <c r="C100" i="84" s="1"/>
  <c r="C101" i="84" s="1"/>
  <c r="C102" i="84" s="1"/>
  <c r="C103" i="84" s="1"/>
  <c r="C104" i="84" s="1"/>
  <c r="C93" i="84"/>
  <c r="C94" i="84" s="1"/>
  <c r="C95" i="84" s="1"/>
  <c r="C96" i="84" s="1"/>
  <c r="C97" i="84" s="1"/>
  <c r="C98" i="84" s="1"/>
  <c r="A93" i="84"/>
  <c r="A94" i="84" s="1"/>
  <c r="A95" i="84" s="1"/>
  <c r="A96" i="84" s="1"/>
  <c r="A97" i="84" s="1"/>
  <c r="A98" i="84" s="1"/>
  <c r="A99" i="84" s="1"/>
  <c r="A100" i="84" s="1"/>
  <c r="A101" i="84" s="1"/>
  <c r="A102" i="84" s="1"/>
  <c r="A103" i="84" s="1"/>
  <c r="A104" i="84" s="1"/>
  <c r="A105" i="84" s="1"/>
  <c r="A106" i="84" s="1"/>
  <c r="A107" i="84" s="1"/>
  <c r="A108" i="84" s="1"/>
  <c r="A109" i="84" s="1"/>
  <c r="A110" i="84" s="1"/>
  <c r="A111" i="84" s="1"/>
  <c r="A112" i="84" s="1"/>
  <c r="A113" i="84" s="1"/>
  <c r="A114" i="84" s="1"/>
  <c r="A115" i="84" s="1"/>
  <c r="A116" i="84" s="1"/>
  <c r="A117" i="84" s="1"/>
  <c r="A118" i="84" s="1"/>
  <c r="A119" i="84" s="1"/>
  <c r="A120" i="84" s="1"/>
  <c r="A121" i="84" s="1"/>
  <c r="I92" i="84"/>
  <c r="E88" i="84"/>
  <c r="M73" i="84"/>
  <c r="K73" i="84"/>
  <c r="E73" i="84"/>
  <c r="E116" i="84" s="1"/>
  <c r="A54" i="84"/>
  <c r="A55" i="84" s="1"/>
  <c r="A56" i="84" s="1"/>
  <c r="A57" i="84" s="1"/>
  <c r="A58" i="84" s="1"/>
  <c r="A59" i="84" s="1"/>
  <c r="A60" i="84" s="1"/>
  <c r="A61" i="84" s="1"/>
  <c r="A62" i="84" s="1"/>
  <c r="A63" i="84" s="1"/>
  <c r="A64" i="84" s="1"/>
  <c r="A65" i="84" s="1"/>
  <c r="A66" i="84" s="1"/>
  <c r="A67" i="84" s="1"/>
  <c r="A68" i="84" s="1"/>
  <c r="A69" i="84" s="1"/>
  <c r="A70" i="84" s="1"/>
  <c r="A71" i="84" s="1"/>
  <c r="A72" i="84" s="1"/>
  <c r="A73" i="84" s="1"/>
  <c r="A74" i="84" s="1"/>
  <c r="A75" i="84" s="1"/>
  <c r="A76" i="84" s="1"/>
  <c r="A77" i="84" s="1"/>
  <c r="C53" i="84"/>
  <c r="C54" i="84" s="1"/>
  <c r="C55" i="84" s="1"/>
  <c r="C56" i="84" s="1"/>
  <c r="C57" i="84" s="1"/>
  <c r="C58" i="84" s="1"/>
  <c r="C59" i="84" s="1"/>
  <c r="C60" i="84" s="1"/>
  <c r="C61" i="84" s="1"/>
  <c r="C62" i="84" s="1"/>
  <c r="C63" i="84" s="1"/>
  <c r="C64" i="84" s="1"/>
  <c r="E26" i="84"/>
  <c r="E22" i="84"/>
  <c r="E18" i="84"/>
  <c r="C16" i="84"/>
  <c r="C17" i="84" s="1"/>
  <c r="C18" i="84" s="1"/>
  <c r="C19" i="84" s="1"/>
  <c r="C20" i="84" s="1"/>
  <c r="C21" i="84" s="1"/>
  <c r="C22" i="84" s="1"/>
  <c r="C23" i="84" s="1"/>
  <c r="C24" i="84" s="1"/>
  <c r="C25" i="84" s="1"/>
  <c r="C26" i="84" s="1"/>
  <c r="C27" i="84" s="1"/>
  <c r="A16" i="84"/>
  <c r="A17" i="84" s="1"/>
  <c r="A18" i="84" s="1"/>
  <c r="A19" i="84" s="1"/>
  <c r="A20" i="84" s="1"/>
  <c r="A21" i="84" s="1"/>
  <c r="A22" i="84" s="1"/>
  <c r="A23" i="84" s="1"/>
  <c r="A24" i="84" s="1"/>
  <c r="A25" i="84" s="1"/>
  <c r="A26" i="84" s="1"/>
  <c r="A27" i="84" s="1"/>
  <c r="A28" i="84" s="1"/>
  <c r="A29" i="84" s="1"/>
  <c r="A30" i="84" s="1"/>
  <c r="A31" i="84" s="1"/>
  <c r="A32" i="84" s="1"/>
  <c r="A33" i="84" s="1"/>
  <c r="A34" i="84" s="1"/>
  <c r="A35" i="84" s="1"/>
  <c r="A36" i="84" s="1"/>
  <c r="A37" i="84" s="1"/>
  <c r="A38" i="84" s="1"/>
  <c r="C15" i="84"/>
  <c r="C92" i="84" s="1"/>
  <c r="E11" i="84"/>
  <c r="E49" i="84" s="1"/>
  <c r="C73" i="84" s="1"/>
  <c r="C116" i="84" s="1"/>
  <c r="A8" i="84"/>
  <c r="A6" i="84"/>
  <c r="A44" i="84" s="1"/>
  <c r="A34" i="83"/>
  <c r="A35" i="83" s="1"/>
  <c r="A36" i="83" s="1"/>
  <c r="A37" i="83" s="1"/>
  <c r="A38" i="83" s="1"/>
  <c r="E27" i="83"/>
  <c r="E27" i="85" s="1"/>
  <c r="E26" i="83"/>
  <c r="E25" i="83"/>
  <c r="E24" i="83"/>
  <c r="E23" i="83"/>
  <c r="E22" i="83"/>
  <c r="E21" i="83"/>
  <c r="E20" i="83"/>
  <c r="E19" i="83"/>
  <c r="E18" i="83"/>
  <c r="E17" i="83"/>
  <c r="C17" i="83"/>
  <c r="A17" i="83"/>
  <c r="A18" i="83" s="1"/>
  <c r="A19" i="83" s="1"/>
  <c r="A20" i="83" s="1"/>
  <c r="A21" i="83" s="1"/>
  <c r="A22" i="83" s="1"/>
  <c r="A23" i="83" s="1"/>
  <c r="A24" i="83" s="1"/>
  <c r="A25" i="83" s="1"/>
  <c r="A26" i="83" s="1"/>
  <c r="A27" i="83" s="1"/>
  <c r="A28" i="83" s="1"/>
  <c r="A29" i="83" s="1"/>
  <c r="A30" i="83" s="1"/>
  <c r="A31" i="83" s="1"/>
  <c r="A32" i="83" s="1"/>
  <c r="A33" i="83" s="1"/>
  <c r="G16" i="83"/>
  <c r="E16" i="83"/>
  <c r="C16" i="83"/>
  <c r="A16" i="83"/>
  <c r="G15" i="83"/>
  <c r="G15" i="84" s="1"/>
  <c r="E15" i="83"/>
  <c r="E15" i="85" s="1"/>
  <c r="C15" i="83"/>
  <c r="A6" i="83"/>
  <c r="B16" i="82"/>
  <c r="C18" i="83" s="1"/>
  <c r="B15" i="82"/>
  <c r="E73" i="85"/>
  <c r="A3" i="82"/>
  <c r="A3" i="85" s="1"/>
  <c r="A80" i="85" s="1"/>
  <c r="B75" i="2"/>
  <c r="D75" i="2"/>
  <c r="A3" i="83" l="1"/>
  <c r="A41" i="85"/>
  <c r="A3" i="86"/>
  <c r="A70" i="86" s="1"/>
  <c r="I53" i="94"/>
  <c r="G93" i="94"/>
  <c r="G60" i="94"/>
  <c r="I60" i="94" s="1"/>
  <c r="I22" i="94"/>
  <c r="E65" i="94"/>
  <c r="E93" i="94"/>
  <c r="I58" i="94"/>
  <c r="I54" i="94"/>
  <c r="I25" i="94"/>
  <c r="I28" i="94" s="1"/>
  <c r="I30" i="94" s="1"/>
  <c r="I33" i="94" s="1"/>
  <c r="G63" i="94"/>
  <c r="I63" i="94" s="1"/>
  <c r="G56" i="94"/>
  <c r="I56" i="94" s="1"/>
  <c r="I18" i="94"/>
  <c r="I21" i="94"/>
  <c r="G59" i="94"/>
  <c r="I59" i="94" s="1"/>
  <c r="C20" i="93"/>
  <c r="B19" i="92"/>
  <c r="I24" i="94"/>
  <c r="G62" i="94"/>
  <c r="I62" i="94" s="1"/>
  <c r="I57" i="94"/>
  <c r="I17" i="94"/>
  <c r="G55" i="94"/>
  <c r="I55" i="94" s="1"/>
  <c r="E94" i="90"/>
  <c r="E95" i="90" s="1"/>
  <c r="E96" i="90" s="1"/>
  <c r="E97" i="90" s="1"/>
  <c r="E98" i="90" s="1"/>
  <c r="E99" i="90" s="1"/>
  <c r="E100" i="90" s="1"/>
  <c r="E101" i="90" s="1"/>
  <c r="E102" i="90" s="1"/>
  <c r="E103" i="90" s="1"/>
  <c r="E104" i="90" s="1"/>
  <c r="E105" i="90"/>
  <c r="E107" i="90" s="1"/>
  <c r="C20" i="89"/>
  <c r="B19" i="88"/>
  <c r="I56" i="90"/>
  <c r="I93" i="90"/>
  <c r="G94" i="90"/>
  <c r="G65" i="90"/>
  <c r="A83" i="84"/>
  <c r="E88" i="85"/>
  <c r="A83" i="85"/>
  <c r="E20" i="85"/>
  <c r="E20" i="84"/>
  <c r="E24" i="85"/>
  <c r="E24" i="84"/>
  <c r="E16" i="85"/>
  <c r="E16" i="84"/>
  <c r="E28" i="83"/>
  <c r="E30" i="83" s="1"/>
  <c r="E17" i="85"/>
  <c r="E17" i="84"/>
  <c r="E21" i="85"/>
  <c r="E59" i="85" s="1"/>
  <c r="E21" i="84"/>
  <c r="E25" i="85"/>
  <c r="E25" i="84"/>
  <c r="I15" i="83"/>
  <c r="G15" i="85"/>
  <c r="I15" i="85" s="1"/>
  <c r="E19" i="85"/>
  <c r="E19" i="84"/>
  <c r="E23" i="85"/>
  <c r="E61" i="85" s="1"/>
  <c r="E23" i="84"/>
  <c r="E27" i="84"/>
  <c r="E56" i="85"/>
  <c r="G16" i="85"/>
  <c r="G16" i="84"/>
  <c r="G25" i="83"/>
  <c r="G21" i="83"/>
  <c r="G17" i="83"/>
  <c r="I16" i="83"/>
  <c r="G18" i="83"/>
  <c r="G19" i="83"/>
  <c r="G20" i="83"/>
  <c r="G22" i="83"/>
  <c r="G23" i="83"/>
  <c r="G24" i="83"/>
  <c r="G26" i="83"/>
  <c r="G27" i="83"/>
  <c r="E116" i="85"/>
  <c r="G73" i="85"/>
  <c r="E64" i="85" s="1"/>
  <c r="B17" i="82"/>
  <c r="E15" i="84"/>
  <c r="G73" i="84"/>
  <c r="G116" i="84" s="1"/>
  <c r="E60" i="85"/>
  <c r="A3" i="84"/>
  <c r="T74" i="2"/>
  <c r="R74" i="2"/>
  <c r="L74" i="2"/>
  <c r="P74" i="2" s="1"/>
  <c r="B74" i="2"/>
  <c r="D74" i="2"/>
  <c r="N35" i="2"/>
  <c r="L31" i="2"/>
  <c r="P31" i="2" s="1"/>
  <c r="A6" i="81"/>
  <c r="A73" i="81" s="1"/>
  <c r="A99" i="80"/>
  <c r="A100" i="80" s="1"/>
  <c r="A101" i="80" s="1"/>
  <c r="A102" i="80" s="1"/>
  <c r="A103" i="80" s="1"/>
  <c r="A104" i="80" s="1"/>
  <c r="A105" i="80" s="1"/>
  <c r="A106" i="80" s="1"/>
  <c r="A107" i="80" s="1"/>
  <c r="A108" i="80" s="1"/>
  <c r="A109" i="80" s="1"/>
  <c r="A110" i="80" s="1"/>
  <c r="A111" i="80" s="1"/>
  <c r="A112" i="80" s="1"/>
  <c r="A113" i="80" s="1"/>
  <c r="A114" i="80" s="1"/>
  <c r="A115" i="80" s="1"/>
  <c r="A116" i="80" s="1"/>
  <c r="A117" i="80" s="1"/>
  <c r="A118" i="80" s="1"/>
  <c r="A119" i="80" s="1"/>
  <c r="A120" i="80" s="1"/>
  <c r="A121" i="80" s="1"/>
  <c r="A95" i="80"/>
  <c r="A96" i="80" s="1"/>
  <c r="A97" i="80" s="1"/>
  <c r="A98" i="80" s="1"/>
  <c r="C93" i="80"/>
  <c r="C94" i="80" s="1"/>
  <c r="C95" i="80" s="1"/>
  <c r="C96" i="80" s="1"/>
  <c r="C97" i="80" s="1"/>
  <c r="C98" i="80" s="1"/>
  <c r="C99" i="80" s="1"/>
  <c r="C100" i="80" s="1"/>
  <c r="C101" i="80" s="1"/>
  <c r="C102" i="80" s="1"/>
  <c r="C103" i="80" s="1"/>
  <c r="C104" i="80" s="1"/>
  <c r="A93" i="80"/>
  <c r="A94" i="80" s="1"/>
  <c r="I92" i="80"/>
  <c r="E88" i="80"/>
  <c r="M73" i="80"/>
  <c r="K73" i="80"/>
  <c r="E73" i="80"/>
  <c r="E116" i="80" s="1"/>
  <c r="A56" i="80"/>
  <c r="A57" i="80" s="1"/>
  <c r="A58" i="80" s="1"/>
  <c r="A59" i="80" s="1"/>
  <c r="A60" i="80" s="1"/>
  <c r="A61" i="80" s="1"/>
  <c r="A62" i="80" s="1"/>
  <c r="A63" i="80" s="1"/>
  <c r="A64" i="80" s="1"/>
  <c r="A65" i="80" s="1"/>
  <c r="A66" i="80" s="1"/>
  <c r="A67" i="80" s="1"/>
  <c r="A68" i="80" s="1"/>
  <c r="A69" i="80" s="1"/>
  <c r="A70" i="80" s="1"/>
  <c r="A71" i="80" s="1"/>
  <c r="A72" i="80" s="1"/>
  <c r="A73" i="80" s="1"/>
  <c r="A74" i="80" s="1"/>
  <c r="A75" i="80" s="1"/>
  <c r="A76" i="80" s="1"/>
  <c r="A77" i="80" s="1"/>
  <c r="A54" i="80"/>
  <c r="A55" i="80" s="1"/>
  <c r="E25" i="80"/>
  <c r="A19" i="80"/>
  <c r="A20" i="80" s="1"/>
  <c r="A21" i="80" s="1"/>
  <c r="A22" i="80" s="1"/>
  <c r="A23" i="80" s="1"/>
  <c r="A24" i="80" s="1"/>
  <c r="A25" i="80" s="1"/>
  <c r="A26" i="80" s="1"/>
  <c r="A27" i="80" s="1"/>
  <c r="A28" i="80" s="1"/>
  <c r="A29" i="80" s="1"/>
  <c r="A30" i="80" s="1"/>
  <c r="A31" i="80" s="1"/>
  <c r="A32" i="80" s="1"/>
  <c r="A33" i="80" s="1"/>
  <c r="A34" i="80" s="1"/>
  <c r="A35" i="80" s="1"/>
  <c r="A36" i="80" s="1"/>
  <c r="A37" i="80" s="1"/>
  <c r="A38" i="80" s="1"/>
  <c r="A16" i="80"/>
  <c r="A17" i="80" s="1"/>
  <c r="A18" i="80" s="1"/>
  <c r="E15" i="80"/>
  <c r="E11" i="80"/>
  <c r="E49" i="80" s="1"/>
  <c r="C73" i="80" s="1"/>
  <c r="C116" i="80" s="1"/>
  <c r="A8" i="80"/>
  <c r="A6" i="80"/>
  <c r="A44" i="80" s="1"/>
  <c r="E27" i="79"/>
  <c r="E27" i="80" s="1"/>
  <c r="E26" i="79"/>
  <c r="E26" i="80" s="1"/>
  <c r="E25" i="79"/>
  <c r="E24" i="79"/>
  <c r="E24" i="80" s="1"/>
  <c r="E23" i="79"/>
  <c r="E23" i="80" s="1"/>
  <c r="E22" i="79"/>
  <c r="E22" i="80" s="1"/>
  <c r="E21" i="79"/>
  <c r="E21" i="80" s="1"/>
  <c r="E20" i="79"/>
  <c r="E20" i="80" s="1"/>
  <c r="E19" i="79"/>
  <c r="E19" i="80" s="1"/>
  <c r="E18" i="79"/>
  <c r="E18" i="80" s="1"/>
  <c r="E17" i="79"/>
  <c r="E17" i="80" s="1"/>
  <c r="G16" i="79"/>
  <c r="G20" i="79" s="1"/>
  <c r="G20" i="80" s="1"/>
  <c r="I20" i="80" s="1"/>
  <c r="E16" i="79"/>
  <c r="E16" i="80" s="1"/>
  <c r="C16" i="79"/>
  <c r="C16" i="80" s="1"/>
  <c r="C17" i="80" s="1"/>
  <c r="C18" i="80" s="1"/>
  <c r="C19" i="80" s="1"/>
  <c r="C20" i="80" s="1"/>
  <c r="C21" i="80" s="1"/>
  <c r="C22" i="80" s="1"/>
  <c r="C23" i="80" s="1"/>
  <c r="C24" i="80" s="1"/>
  <c r="C25" i="80" s="1"/>
  <c r="C26" i="80" s="1"/>
  <c r="C27" i="80" s="1"/>
  <c r="A16" i="79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34" i="79" s="1"/>
  <c r="A35" i="79" s="1"/>
  <c r="A36" i="79" s="1"/>
  <c r="A37" i="79" s="1"/>
  <c r="A38" i="79" s="1"/>
  <c r="G15" i="79"/>
  <c r="G15" i="80" s="1"/>
  <c r="E15" i="79"/>
  <c r="C15" i="79"/>
  <c r="C15" i="80" s="1"/>
  <c r="C92" i="80" s="1"/>
  <c r="A6" i="79"/>
  <c r="B15" i="78"/>
  <c r="C17" i="79" s="1"/>
  <c r="J13" i="78"/>
  <c r="A3" i="78"/>
  <c r="J13" i="61"/>
  <c r="B20" i="92" l="1"/>
  <c r="C21" i="93"/>
  <c r="G65" i="94"/>
  <c r="I93" i="94"/>
  <c r="G94" i="94"/>
  <c r="E94" i="94"/>
  <c r="E95" i="94" s="1"/>
  <c r="E96" i="94" s="1"/>
  <c r="E97" i="94" s="1"/>
  <c r="E98" i="94" s="1"/>
  <c r="E99" i="94" s="1"/>
  <c r="E100" i="94" s="1"/>
  <c r="E101" i="94" s="1"/>
  <c r="E102" i="94" s="1"/>
  <c r="E103" i="94" s="1"/>
  <c r="E104" i="94" s="1"/>
  <c r="I65" i="94"/>
  <c r="I67" i="94" s="1"/>
  <c r="I94" i="90"/>
  <c r="G95" i="90"/>
  <c r="C21" i="89"/>
  <c r="B20" i="88"/>
  <c r="I65" i="90"/>
  <c r="I67" i="90" s="1"/>
  <c r="E57" i="85"/>
  <c r="E62" i="85"/>
  <c r="G24" i="85"/>
  <c r="G24" i="84"/>
  <c r="I24" i="83"/>
  <c r="G19" i="85"/>
  <c r="G19" i="84"/>
  <c r="I19" i="83"/>
  <c r="G21" i="84"/>
  <c r="G21" i="85"/>
  <c r="I21" i="83"/>
  <c r="E59" i="84"/>
  <c r="E62" i="84"/>
  <c r="A80" i="84"/>
  <c r="A41" i="84"/>
  <c r="E53" i="84"/>
  <c r="E60" i="84"/>
  <c r="G23" i="85"/>
  <c r="G23" i="84"/>
  <c r="I23" i="83"/>
  <c r="G18" i="85"/>
  <c r="G18" i="84"/>
  <c r="I18" i="83"/>
  <c r="G25" i="84"/>
  <c r="I25" i="83"/>
  <c r="G25" i="85"/>
  <c r="E57" i="84"/>
  <c r="E54" i="84"/>
  <c r="E28" i="84"/>
  <c r="E30" i="84" s="1"/>
  <c r="C19" i="83"/>
  <c r="B18" i="82"/>
  <c r="E56" i="84"/>
  <c r="G27" i="85"/>
  <c r="I27" i="85" s="1"/>
  <c r="I27" i="83"/>
  <c r="G27" i="84"/>
  <c r="I27" i="84" s="1"/>
  <c r="G22" i="84"/>
  <c r="I22" i="83"/>
  <c r="G22" i="85"/>
  <c r="K67" i="84"/>
  <c r="G54" i="84"/>
  <c r="G53" i="84"/>
  <c r="I16" i="84"/>
  <c r="E63" i="84"/>
  <c r="E55" i="84"/>
  <c r="E54" i="85"/>
  <c r="E28" i="85"/>
  <c r="E30" i="85" s="1"/>
  <c r="E58" i="84"/>
  <c r="G116" i="85"/>
  <c r="E53" i="85"/>
  <c r="G26" i="85"/>
  <c r="I26" i="83"/>
  <c r="G26" i="84"/>
  <c r="G20" i="85"/>
  <c r="G20" i="84"/>
  <c r="I20" i="83"/>
  <c r="G17" i="85"/>
  <c r="G17" i="84"/>
  <c r="I17" i="83"/>
  <c r="G28" i="83"/>
  <c r="G30" i="83" s="1"/>
  <c r="K67" i="85"/>
  <c r="I16" i="85"/>
  <c r="G53" i="85"/>
  <c r="G54" i="85"/>
  <c r="E61" i="84"/>
  <c r="E64" i="84"/>
  <c r="E63" i="85"/>
  <c r="E55" i="85"/>
  <c r="I15" i="84"/>
  <c r="E58" i="85"/>
  <c r="G21" i="79"/>
  <c r="I16" i="79"/>
  <c r="I15" i="79"/>
  <c r="A83" i="80"/>
  <c r="I15" i="80"/>
  <c r="E64" i="80"/>
  <c r="G21" i="80"/>
  <c r="I21" i="79"/>
  <c r="E53" i="80"/>
  <c r="A3" i="81"/>
  <c r="A70" i="81" s="1"/>
  <c r="A3" i="80"/>
  <c r="B16" i="78"/>
  <c r="E28" i="79"/>
  <c r="E30" i="79" s="1"/>
  <c r="E28" i="80"/>
  <c r="E30" i="80" s="1"/>
  <c r="A3" i="79"/>
  <c r="I20" i="79"/>
  <c r="G24" i="79"/>
  <c r="G19" i="79"/>
  <c r="G27" i="79"/>
  <c r="G26" i="79"/>
  <c r="G25" i="79"/>
  <c r="G23" i="79"/>
  <c r="G22" i="79"/>
  <c r="G18" i="79"/>
  <c r="G17" i="79"/>
  <c r="E59" i="80"/>
  <c r="G16" i="80"/>
  <c r="C53" i="80"/>
  <c r="C54" i="80" s="1"/>
  <c r="C55" i="80" s="1"/>
  <c r="C56" i="80" s="1"/>
  <c r="C57" i="80" s="1"/>
  <c r="C58" i="80" s="1"/>
  <c r="C59" i="80" s="1"/>
  <c r="C60" i="80" s="1"/>
  <c r="C61" i="80" s="1"/>
  <c r="C62" i="80" s="1"/>
  <c r="C63" i="80" s="1"/>
  <c r="C64" i="80" s="1"/>
  <c r="G73" i="80"/>
  <c r="M67" i="94" l="1"/>
  <c r="G95" i="94"/>
  <c r="I94" i="94"/>
  <c r="E105" i="94"/>
  <c r="E107" i="94" s="1"/>
  <c r="B21" i="92"/>
  <c r="C22" i="93"/>
  <c r="M67" i="90"/>
  <c r="M54" i="90"/>
  <c r="M58" i="90"/>
  <c r="M60" i="90"/>
  <c r="M63" i="90"/>
  <c r="M55" i="90"/>
  <c r="M53" i="90"/>
  <c r="M64" i="90"/>
  <c r="M61" i="90"/>
  <c r="M62" i="90"/>
  <c r="M59" i="90"/>
  <c r="M57" i="90"/>
  <c r="B21" i="88"/>
  <c r="C22" i="89"/>
  <c r="I95" i="90"/>
  <c r="G96" i="90"/>
  <c r="M56" i="90"/>
  <c r="I28" i="83"/>
  <c r="I30" i="83" s="1"/>
  <c r="I33" i="83" s="1"/>
  <c r="G93" i="85"/>
  <c r="I53" i="85"/>
  <c r="I20" i="84"/>
  <c r="G58" i="84"/>
  <c r="I58" i="84" s="1"/>
  <c r="G64" i="85"/>
  <c r="I64" i="85" s="1"/>
  <c r="I26" i="85"/>
  <c r="G28" i="84"/>
  <c r="G30" i="84" s="1"/>
  <c r="I22" i="84"/>
  <c r="G60" i="84"/>
  <c r="I60" i="84" s="1"/>
  <c r="G63" i="84"/>
  <c r="I63" i="84" s="1"/>
  <c r="I25" i="84"/>
  <c r="E93" i="84"/>
  <c r="E65" i="84"/>
  <c r="I21" i="85"/>
  <c r="G59" i="85"/>
  <c r="I59" i="85" s="1"/>
  <c r="I19" i="85"/>
  <c r="G57" i="85"/>
  <c r="I57" i="85" s="1"/>
  <c r="G55" i="84"/>
  <c r="I55" i="84" s="1"/>
  <c r="I17" i="84"/>
  <c r="I28" i="84" s="1"/>
  <c r="I30" i="84" s="1"/>
  <c r="I33" i="84" s="1"/>
  <c r="I20" i="85"/>
  <c r="G58" i="85"/>
  <c r="I58" i="85" s="1"/>
  <c r="B19" i="82"/>
  <c r="C20" i="83"/>
  <c r="I23" i="84"/>
  <c r="G61" i="84"/>
  <c r="I61" i="84" s="1"/>
  <c r="I21" i="84"/>
  <c r="G59" i="84"/>
  <c r="I59" i="84" s="1"/>
  <c r="G28" i="85"/>
  <c r="G30" i="85" s="1"/>
  <c r="G55" i="85"/>
  <c r="I55" i="85" s="1"/>
  <c r="I17" i="85"/>
  <c r="G64" i="84"/>
  <c r="I64" i="84" s="1"/>
  <c r="I26" i="84"/>
  <c r="G93" i="84"/>
  <c r="I53" i="84"/>
  <c r="G65" i="84"/>
  <c r="I22" i="85"/>
  <c r="G60" i="85"/>
  <c r="I60" i="85" s="1"/>
  <c r="G63" i="85"/>
  <c r="I63" i="85" s="1"/>
  <c r="I25" i="85"/>
  <c r="G56" i="84"/>
  <c r="I56" i="84" s="1"/>
  <c r="I18" i="84"/>
  <c r="I23" i="85"/>
  <c r="G61" i="85"/>
  <c r="I61" i="85" s="1"/>
  <c r="G62" i="84"/>
  <c r="I62" i="84" s="1"/>
  <c r="I24" i="84"/>
  <c r="I54" i="85"/>
  <c r="E93" i="85"/>
  <c r="E65" i="85"/>
  <c r="I54" i="84"/>
  <c r="G56" i="85"/>
  <c r="I56" i="85" s="1"/>
  <c r="I18" i="85"/>
  <c r="I19" i="84"/>
  <c r="G57" i="84"/>
  <c r="I57" i="84" s="1"/>
  <c r="I24" i="85"/>
  <c r="G62" i="85"/>
  <c r="I62" i="85" s="1"/>
  <c r="G23" i="80"/>
  <c r="I23" i="79"/>
  <c r="G19" i="80"/>
  <c r="I19" i="79"/>
  <c r="E93" i="80"/>
  <c r="G116" i="80"/>
  <c r="G58" i="80"/>
  <c r="I58" i="80" s="1"/>
  <c r="G28" i="79"/>
  <c r="G30" i="79" s="1"/>
  <c r="G17" i="80"/>
  <c r="I17" i="79"/>
  <c r="I25" i="79"/>
  <c r="G25" i="80"/>
  <c r="G24" i="80"/>
  <c r="I24" i="79"/>
  <c r="E56" i="80"/>
  <c r="B17" i="78"/>
  <c r="C18" i="79"/>
  <c r="E63" i="80"/>
  <c r="E57" i="80"/>
  <c r="E58" i="80"/>
  <c r="I18" i="79"/>
  <c r="G18" i="80"/>
  <c r="I26" i="79"/>
  <c r="G26" i="80"/>
  <c r="E62" i="80"/>
  <c r="E55" i="80"/>
  <c r="A80" i="80"/>
  <c r="A41" i="80"/>
  <c r="E54" i="80"/>
  <c r="E65" i="80" s="1"/>
  <c r="K67" i="80"/>
  <c r="G53" i="80"/>
  <c r="G54" i="80"/>
  <c r="I54" i="80" s="1"/>
  <c r="I16" i="80"/>
  <c r="G22" i="80"/>
  <c r="I22" i="79"/>
  <c r="G27" i="80"/>
  <c r="I27" i="80" s="1"/>
  <c r="I27" i="79"/>
  <c r="E60" i="80"/>
  <c r="G59" i="80"/>
  <c r="I59" i="80" s="1"/>
  <c r="I21" i="80"/>
  <c r="E61" i="80"/>
  <c r="M53" i="94" l="1"/>
  <c r="M58" i="94"/>
  <c r="M57" i="94"/>
  <c r="M55" i="94"/>
  <c r="M54" i="94"/>
  <c r="M61" i="94"/>
  <c r="I95" i="94"/>
  <c r="G96" i="94"/>
  <c r="C23" i="93"/>
  <c r="B22" i="92"/>
  <c r="M62" i="94"/>
  <c r="M59" i="94"/>
  <c r="M56" i="94"/>
  <c r="M64" i="94"/>
  <c r="M60" i="94"/>
  <c r="M63" i="94"/>
  <c r="I96" i="90"/>
  <c r="G97" i="90"/>
  <c r="M65" i="90"/>
  <c r="M93" i="90"/>
  <c r="C23" i="89"/>
  <c r="B22" i="88"/>
  <c r="I28" i="85"/>
  <c r="I30" i="85" s="1"/>
  <c r="I33" i="85" s="1"/>
  <c r="G94" i="84"/>
  <c r="I93" i="84"/>
  <c r="E94" i="85"/>
  <c r="E95" i="85" s="1"/>
  <c r="E96" i="85" s="1"/>
  <c r="E97" i="85" s="1"/>
  <c r="E98" i="85" s="1"/>
  <c r="E99" i="85" s="1"/>
  <c r="E100" i="85" s="1"/>
  <c r="E101" i="85" s="1"/>
  <c r="E102" i="85" s="1"/>
  <c r="E103" i="85" s="1"/>
  <c r="E104" i="85" s="1"/>
  <c r="I65" i="84"/>
  <c r="I67" i="84" s="1"/>
  <c r="G65" i="85"/>
  <c r="C21" i="83"/>
  <c r="B20" i="82"/>
  <c r="E94" i="84"/>
  <c r="E95" i="84" s="1"/>
  <c r="E96" i="84" s="1"/>
  <c r="E97" i="84" s="1"/>
  <c r="E98" i="84" s="1"/>
  <c r="E99" i="84" s="1"/>
  <c r="E100" i="84" s="1"/>
  <c r="E101" i="84" s="1"/>
  <c r="E102" i="84" s="1"/>
  <c r="E103" i="84" s="1"/>
  <c r="E104" i="84" s="1"/>
  <c r="I65" i="85"/>
  <c r="I67" i="85" s="1"/>
  <c r="M67" i="85" s="1"/>
  <c r="M53" i="85" s="1"/>
  <c r="G94" i="85"/>
  <c r="I93" i="85"/>
  <c r="G28" i="80"/>
  <c r="G30" i="80" s="1"/>
  <c r="I26" i="80"/>
  <c r="G64" i="80"/>
  <c r="I64" i="80" s="1"/>
  <c r="I28" i="79"/>
  <c r="I30" i="79" s="1"/>
  <c r="I33" i="79" s="1"/>
  <c r="G57" i="80"/>
  <c r="I57" i="80" s="1"/>
  <c r="I19" i="80"/>
  <c r="I22" i="80"/>
  <c r="G60" i="80"/>
  <c r="I60" i="80" s="1"/>
  <c r="G93" i="80"/>
  <c r="I53" i="80"/>
  <c r="I24" i="80"/>
  <c r="G62" i="80"/>
  <c r="I62" i="80" s="1"/>
  <c r="G55" i="80"/>
  <c r="I55" i="80" s="1"/>
  <c r="I17" i="80"/>
  <c r="I18" i="80"/>
  <c r="I28" i="80" s="1"/>
  <c r="I30" i="80" s="1"/>
  <c r="I33" i="80" s="1"/>
  <c r="G56" i="80"/>
  <c r="I56" i="80" s="1"/>
  <c r="B18" i="78"/>
  <c r="C19" i="79"/>
  <c r="G63" i="80"/>
  <c r="I63" i="80" s="1"/>
  <c r="I25" i="80"/>
  <c r="E94" i="80"/>
  <c r="E95" i="80" s="1"/>
  <c r="E96" i="80" s="1"/>
  <c r="E97" i="80" s="1"/>
  <c r="E98" i="80" s="1"/>
  <c r="E99" i="80" s="1"/>
  <c r="E100" i="80" s="1"/>
  <c r="E101" i="80" s="1"/>
  <c r="E102" i="80" s="1"/>
  <c r="E103" i="80" s="1"/>
  <c r="E104" i="80" s="1"/>
  <c r="G61" i="80"/>
  <c r="I61" i="80" s="1"/>
  <c r="I23" i="80"/>
  <c r="G97" i="94" l="1"/>
  <c r="I96" i="94"/>
  <c r="C24" i="93"/>
  <c r="B23" i="92"/>
  <c r="M65" i="94"/>
  <c r="M93" i="94"/>
  <c r="M94" i="90"/>
  <c r="M95" i="90" s="1"/>
  <c r="M96" i="90" s="1"/>
  <c r="M97" i="90" s="1"/>
  <c r="M98" i="90" s="1"/>
  <c r="M99" i="90" s="1"/>
  <c r="M100" i="90" s="1"/>
  <c r="M101" i="90" s="1"/>
  <c r="M102" i="90" s="1"/>
  <c r="M103" i="90" s="1"/>
  <c r="M104" i="90" s="1"/>
  <c r="C24" i="89"/>
  <c r="B23" i="88"/>
  <c r="I97" i="90"/>
  <c r="G98" i="90"/>
  <c r="M67" i="84"/>
  <c r="M53" i="84" s="1"/>
  <c r="R75" i="2"/>
  <c r="E105" i="85"/>
  <c r="E107" i="85" s="1"/>
  <c r="E105" i="84"/>
  <c r="E107" i="84" s="1"/>
  <c r="M93" i="85"/>
  <c r="M54" i="85"/>
  <c r="M55" i="85" s="1"/>
  <c r="M56" i="85" s="1"/>
  <c r="M57" i="85" s="1"/>
  <c r="M58" i="85" s="1"/>
  <c r="M59" i="85" s="1"/>
  <c r="M60" i="85" s="1"/>
  <c r="M61" i="85" s="1"/>
  <c r="M62" i="85" s="1"/>
  <c r="M63" i="85" s="1"/>
  <c r="M64" i="85" s="1"/>
  <c r="M93" i="84"/>
  <c r="M54" i="84"/>
  <c r="M55" i="84" s="1"/>
  <c r="M56" i="84" s="1"/>
  <c r="M57" i="84" s="1"/>
  <c r="M58" i="84" s="1"/>
  <c r="M59" i="84" s="1"/>
  <c r="M60" i="84" s="1"/>
  <c r="M61" i="84" s="1"/>
  <c r="M62" i="84" s="1"/>
  <c r="M63" i="84" s="1"/>
  <c r="M64" i="84" s="1"/>
  <c r="G95" i="84"/>
  <c r="I94" i="84"/>
  <c r="G95" i="85"/>
  <c r="I94" i="85"/>
  <c r="C22" i="83"/>
  <c r="B21" i="82"/>
  <c r="C20" i="79"/>
  <c r="B19" i="78"/>
  <c r="G65" i="80"/>
  <c r="I65" i="80"/>
  <c r="I67" i="80" s="1"/>
  <c r="M67" i="80" s="1"/>
  <c r="M53" i="80" s="1"/>
  <c r="E105" i="80"/>
  <c r="E107" i="80" s="1"/>
  <c r="G94" i="80"/>
  <c r="I93" i="80"/>
  <c r="M94" i="94" l="1"/>
  <c r="M95" i="94" s="1"/>
  <c r="M96" i="94" s="1"/>
  <c r="M97" i="94" s="1"/>
  <c r="M98" i="94" s="1"/>
  <c r="M99" i="94" s="1"/>
  <c r="M100" i="94" s="1"/>
  <c r="M101" i="94" s="1"/>
  <c r="M102" i="94" s="1"/>
  <c r="M103" i="94" s="1"/>
  <c r="M104" i="94" s="1"/>
  <c r="I97" i="94"/>
  <c r="G98" i="94"/>
  <c r="B24" i="92"/>
  <c r="C25" i="93"/>
  <c r="B24" i="88"/>
  <c r="C25" i="89"/>
  <c r="I98" i="90"/>
  <c r="G99" i="90"/>
  <c r="M105" i="90"/>
  <c r="M107" i="90" s="1"/>
  <c r="M110" i="90" s="1"/>
  <c r="I95" i="85"/>
  <c r="G96" i="85"/>
  <c r="C23" i="83"/>
  <c r="B22" i="82"/>
  <c r="M94" i="84"/>
  <c r="M95" i="84" s="1"/>
  <c r="M96" i="84" s="1"/>
  <c r="M97" i="84" s="1"/>
  <c r="M98" i="84" s="1"/>
  <c r="M99" i="84" s="1"/>
  <c r="M100" i="84" s="1"/>
  <c r="M101" i="84" s="1"/>
  <c r="M102" i="84" s="1"/>
  <c r="M103" i="84" s="1"/>
  <c r="M104" i="84" s="1"/>
  <c r="M94" i="85"/>
  <c r="M95" i="85" s="1"/>
  <c r="M96" i="85" s="1"/>
  <c r="M97" i="85" s="1"/>
  <c r="M98" i="85" s="1"/>
  <c r="M99" i="85" s="1"/>
  <c r="M100" i="85" s="1"/>
  <c r="M101" i="85" s="1"/>
  <c r="M102" i="85" s="1"/>
  <c r="M103" i="85" s="1"/>
  <c r="M104" i="85" s="1"/>
  <c r="G96" i="84"/>
  <c r="I95" i="84"/>
  <c r="M65" i="84"/>
  <c r="M65" i="85"/>
  <c r="M54" i="80"/>
  <c r="M55" i="80" s="1"/>
  <c r="M56" i="80" s="1"/>
  <c r="M57" i="80" s="1"/>
  <c r="M58" i="80" s="1"/>
  <c r="M59" i="80" s="1"/>
  <c r="M60" i="80" s="1"/>
  <c r="M61" i="80" s="1"/>
  <c r="M62" i="80" s="1"/>
  <c r="M63" i="80" s="1"/>
  <c r="M64" i="80" s="1"/>
  <c r="M93" i="80"/>
  <c r="G95" i="80"/>
  <c r="I94" i="80"/>
  <c r="C21" i="79"/>
  <c r="B20" i="78"/>
  <c r="M105" i="94" l="1"/>
  <c r="M107" i="94" s="1"/>
  <c r="M110" i="94" s="1"/>
  <c r="C26" i="93"/>
  <c r="B25" i="92"/>
  <c r="C27" i="93" s="1"/>
  <c r="G99" i="94"/>
  <c r="I98" i="94"/>
  <c r="I99" i="90"/>
  <c r="G100" i="90"/>
  <c r="B25" i="88"/>
  <c r="C27" i="89" s="1"/>
  <c r="C26" i="89"/>
  <c r="M105" i="85"/>
  <c r="M107" i="85" s="1"/>
  <c r="M110" i="85" s="1"/>
  <c r="M105" i="84"/>
  <c r="M107" i="84" s="1"/>
  <c r="M110" i="84" s="1"/>
  <c r="T75" i="2" s="1"/>
  <c r="G97" i="85"/>
  <c r="I96" i="85"/>
  <c r="G97" i="84"/>
  <c r="I96" i="84"/>
  <c r="B23" i="82"/>
  <c r="C24" i="83"/>
  <c r="M94" i="80"/>
  <c r="M95" i="80" s="1"/>
  <c r="M96" i="80" s="1"/>
  <c r="M97" i="80" s="1"/>
  <c r="M98" i="80" s="1"/>
  <c r="M99" i="80" s="1"/>
  <c r="M100" i="80" s="1"/>
  <c r="M101" i="80" s="1"/>
  <c r="M102" i="80" s="1"/>
  <c r="M103" i="80" s="1"/>
  <c r="M104" i="80" s="1"/>
  <c r="M65" i="80"/>
  <c r="B21" i="78"/>
  <c r="C22" i="79"/>
  <c r="I95" i="80"/>
  <c r="G96" i="80"/>
  <c r="J13" i="65"/>
  <c r="I99" i="94" l="1"/>
  <c r="G100" i="94"/>
  <c r="I100" i="90"/>
  <c r="G101" i="90"/>
  <c r="G98" i="85"/>
  <c r="I97" i="85"/>
  <c r="C25" i="83"/>
  <c r="B24" i="82"/>
  <c r="G98" i="84"/>
  <c r="I97" i="84"/>
  <c r="M105" i="80"/>
  <c r="M107" i="80" s="1"/>
  <c r="M110" i="80" s="1"/>
  <c r="G97" i="80"/>
  <c r="I96" i="80"/>
  <c r="C23" i="79"/>
  <c r="B22" i="78"/>
  <c r="B62" i="2"/>
  <c r="L19" i="2"/>
  <c r="P19" i="2" s="1"/>
  <c r="D62" i="2"/>
  <c r="A6" i="76"/>
  <c r="A75" i="76" s="1"/>
  <c r="A3" i="76"/>
  <c r="A72" i="76" s="1"/>
  <c r="A99" i="75"/>
  <c r="A100" i="75" s="1"/>
  <c r="A101" i="75" s="1"/>
  <c r="A102" i="75" s="1"/>
  <c r="A103" i="75" s="1"/>
  <c r="A104" i="75" s="1"/>
  <c r="A105" i="75" s="1"/>
  <c r="A106" i="75" s="1"/>
  <c r="A107" i="75" s="1"/>
  <c r="A108" i="75" s="1"/>
  <c r="A109" i="75" s="1"/>
  <c r="A110" i="75" s="1"/>
  <c r="A111" i="75" s="1"/>
  <c r="A112" i="75" s="1"/>
  <c r="A113" i="75" s="1"/>
  <c r="A114" i="75" s="1"/>
  <c r="A115" i="75" s="1"/>
  <c r="A116" i="75" s="1"/>
  <c r="A117" i="75" s="1"/>
  <c r="A118" i="75" s="1"/>
  <c r="A119" i="75" s="1"/>
  <c r="A120" i="75" s="1"/>
  <c r="A121" i="75" s="1"/>
  <c r="A97" i="75"/>
  <c r="A98" i="75" s="1"/>
  <c r="A95" i="75"/>
  <c r="A96" i="75" s="1"/>
  <c r="A93" i="75"/>
  <c r="A94" i="75" s="1"/>
  <c r="I92" i="75"/>
  <c r="A83" i="75"/>
  <c r="M73" i="75"/>
  <c r="K73" i="75"/>
  <c r="A55" i="75"/>
  <c r="A56" i="75" s="1"/>
  <c r="A57" i="75" s="1"/>
  <c r="A58" i="75" s="1"/>
  <c r="A59" i="75" s="1"/>
  <c r="A60" i="75" s="1"/>
  <c r="A61" i="75" s="1"/>
  <c r="A62" i="75" s="1"/>
  <c r="A63" i="75" s="1"/>
  <c r="A64" i="75" s="1"/>
  <c r="A65" i="75" s="1"/>
  <c r="A66" i="75" s="1"/>
  <c r="A67" i="75" s="1"/>
  <c r="A68" i="75" s="1"/>
  <c r="A69" i="75" s="1"/>
  <c r="A70" i="75" s="1"/>
  <c r="A71" i="75" s="1"/>
  <c r="A72" i="75" s="1"/>
  <c r="A73" i="75" s="1"/>
  <c r="A74" i="75" s="1"/>
  <c r="A75" i="75" s="1"/>
  <c r="A76" i="75" s="1"/>
  <c r="A77" i="75" s="1"/>
  <c r="A54" i="75"/>
  <c r="C53" i="75"/>
  <c r="C54" i="75" s="1"/>
  <c r="C55" i="75" s="1"/>
  <c r="C56" i="75" s="1"/>
  <c r="C57" i="75" s="1"/>
  <c r="C58" i="75" s="1"/>
  <c r="C59" i="75" s="1"/>
  <c r="C60" i="75" s="1"/>
  <c r="C61" i="75" s="1"/>
  <c r="C62" i="75" s="1"/>
  <c r="C63" i="75" s="1"/>
  <c r="C64" i="75" s="1"/>
  <c r="A20" i="75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16" i="75"/>
  <c r="A17" i="75" s="1"/>
  <c r="A18" i="75" s="1"/>
  <c r="A19" i="75" s="1"/>
  <c r="E11" i="75"/>
  <c r="E49" i="75" s="1"/>
  <c r="C73" i="75" s="1"/>
  <c r="C116" i="75" s="1"/>
  <c r="A8" i="75"/>
  <c r="A6" i="75"/>
  <c r="A44" i="75" s="1"/>
  <c r="E27" i="74"/>
  <c r="E27" i="75" s="1"/>
  <c r="E26" i="74"/>
  <c r="E26" i="75" s="1"/>
  <c r="E25" i="74"/>
  <c r="E25" i="75" s="1"/>
  <c r="E24" i="74"/>
  <c r="E24" i="75" s="1"/>
  <c r="E23" i="74"/>
  <c r="E23" i="75" s="1"/>
  <c r="E22" i="74"/>
  <c r="E22" i="75" s="1"/>
  <c r="E21" i="74"/>
  <c r="E21" i="75" s="1"/>
  <c r="E20" i="74"/>
  <c r="E20" i="75" s="1"/>
  <c r="E19" i="74"/>
  <c r="E19" i="75" s="1"/>
  <c r="E18" i="74"/>
  <c r="E18" i="75" s="1"/>
  <c r="E17" i="74"/>
  <c r="E17" i="75" s="1"/>
  <c r="G16" i="74"/>
  <c r="G25" i="74" s="1"/>
  <c r="E16" i="74"/>
  <c r="E16" i="75" s="1"/>
  <c r="C16" i="74"/>
  <c r="C16" i="75" s="1"/>
  <c r="A16" i="74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G15" i="74"/>
  <c r="G15" i="75" s="1"/>
  <c r="E15" i="74"/>
  <c r="E15" i="75" s="1"/>
  <c r="C15" i="74"/>
  <c r="C15" i="75" s="1"/>
  <c r="C92" i="75" s="1"/>
  <c r="A6" i="74"/>
  <c r="B15" i="73"/>
  <c r="C17" i="74" s="1"/>
  <c r="E73" i="75"/>
  <c r="A3" i="73"/>
  <c r="A3" i="75" s="1"/>
  <c r="A80" i="75" s="1"/>
  <c r="B61" i="2"/>
  <c r="D61" i="2"/>
  <c r="A6" i="72"/>
  <c r="A75" i="72" s="1"/>
  <c r="A93" i="71"/>
  <c r="A94" i="71" s="1"/>
  <c r="A95" i="71" s="1"/>
  <c r="A96" i="71" s="1"/>
  <c r="A97" i="71" s="1"/>
  <c r="A98" i="71" s="1"/>
  <c r="A99" i="71" s="1"/>
  <c r="A100" i="71" s="1"/>
  <c r="A101" i="71" s="1"/>
  <c r="A102" i="71" s="1"/>
  <c r="A103" i="71" s="1"/>
  <c r="A104" i="71" s="1"/>
  <c r="A105" i="71" s="1"/>
  <c r="A106" i="71" s="1"/>
  <c r="A107" i="71" s="1"/>
  <c r="A108" i="71" s="1"/>
  <c r="A109" i="71" s="1"/>
  <c r="A110" i="71" s="1"/>
  <c r="A111" i="71" s="1"/>
  <c r="A112" i="71" s="1"/>
  <c r="A113" i="71" s="1"/>
  <c r="A114" i="71" s="1"/>
  <c r="A115" i="71" s="1"/>
  <c r="A116" i="71" s="1"/>
  <c r="A117" i="71" s="1"/>
  <c r="A118" i="71" s="1"/>
  <c r="A119" i="71" s="1"/>
  <c r="A120" i="71" s="1"/>
  <c r="A121" i="71" s="1"/>
  <c r="I92" i="71"/>
  <c r="M73" i="71"/>
  <c r="K73" i="71"/>
  <c r="A66" i="71"/>
  <c r="A67" i="71" s="1"/>
  <c r="A68" i="71" s="1"/>
  <c r="A69" i="71" s="1"/>
  <c r="A70" i="71" s="1"/>
  <c r="A71" i="71" s="1"/>
  <c r="A72" i="71" s="1"/>
  <c r="A73" i="71" s="1"/>
  <c r="A74" i="71" s="1"/>
  <c r="A75" i="71" s="1"/>
  <c r="A76" i="71" s="1"/>
  <c r="A77" i="71" s="1"/>
  <c r="A54" i="71"/>
  <c r="A55" i="71" s="1"/>
  <c r="A56" i="71" s="1"/>
  <c r="A57" i="71" s="1"/>
  <c r="A58" i="71" s="1"/>
  <c r="A59" i="71" s="1"/>
  <c r="A60" i="71" s="1"/>
  <c r="A61" i="71" s="1"/>
  <c r="A62" i="71" s="1"/>
  <c r="A63" i="71" s="1"/>
  <c r="A64" i="71" s="1"/>
  <c r="A65" i="71" s="1"/>
  <c r="C53" i="71"/>
  <c r="C54" i="71" s="1"/>
  <c r="C55" i="71" s="1"/>
  <c r="C56" i="71" s="1"/>
  <c r="C57" i="71" s="1"/>
  <c r="C58" i="71" s="1"/>
  <c r="C59" i="71" s="1"/>
  <c r="C60" i="71" s="1"/>
  <c r="C61" i="71" s="1"/>
  <c r="C62" i="71" s="1"/>
  <c r="C63" i="71" s="1"/>
  <c r="C64" i="71" s="1"/>
  <c r="E26" i="71"/>
  <c r="E22" i="71"/>
  <c r="A16" i="7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E11" i="71"/>
  <c r="E49" i="71" s="1"/>
  <c r="C73" i="71" s="1"/>
  <c r="C116" i="71" s="1"/>
  <c r="A8" i="71"/>
  <c r="A6" i="71"/>
  <c r="A44" i="71" s="1"/>
  <c r="E27" i="70"/>
  <c r="E27" i="71" s="1"/>
  <c r="E26" i="70"/>
  <c r="E25" i="70"/>
  <c r="E25" i="71" s="1"/>
  <c r="E24" i="70"/>
  <c r="E24" i="71" s="1"/>
  <c r="E23" i="70"/>
  <c r="E23" i="71" s="1"/>
  <c r="E22" i="70"/>
  <c r="E21" i="70"/>
  <c r="E21" i="71" s="1"/>
  <c r="E20" i="70"/>
  <c r="E20" i="71" s="1"/>
  <c r="E19" i="70"/>
  <c r="E19" i="71" s="1"/>
  <c r="E18" i="70"/>
  <c r="E18" i="71" s="1"/>
  <c r="E17" i="70"/>
  <c r="E17" i="71" s="1"/>
  <c r="G16" i="70"/>
  <c r="E16" i="70"/>
  <c r="E16" i="71" s="1"/>
  <c r="C16" i="70"/>
  <c r="C16" i="71" s="1"/>
  <c r="A16" i="70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G15" i="70"/>
  <c r="G15" i="71" s="1"/>
  <c r="I15" i="71" s="1"/>
  <c r="E15" i="70"/>
  <c r="E15" i="71" s="1"/>
  <c r="C15" i="70"/>
  <c r="C15" i="71" s="1"/>
  <c r="C92" i="71" s="1"/>
  <c r="A6" i="70"/>
  <c r="B15" i="69"/>
  <c r="C17" i="70" s="1"/>
  <c r="E73" i="71"/>
  <c r="A3" i="69"/>
  <c r="A3" i="71" s="1"/>
  <c r="A80" i="71" s="1"/>
  <c r="D63" i="2"/>
  <c r="B63" i="2"/>
  <c r="A6" i="68"/>
  <c r="A73" i="68" s="1"/>
  <c r="A3" i="68"/>
  <c r="A70" i="68" s="1"/>
  <c r="M73" i="67"/>
  <c r="K73" i="67"/>
  <c r="E73" i="67"/>
  <c r="E116" i="67" s="1"/>
  <c r="E27" i="67"/>
  <c r="E26" i="67"/>
  <c r="E25" i="67"/>
  <c r="E24" i="67"/>
  <c r="E23" i="67"/>
  <c r="E22" i="67"/>
  <c r="E21" i="67"/>
  <c r="E20" i="67"/>
  <c r="E19" i="67"/>
  <c r="E18" i="67"/>
  <c r="E17" i="67"/>
  <c r="E16" i="67"/>
  <c r="C16" i="67"/>
  <c r="C93" i="67" s="1"/>
  <c r="C94" i="67" s="1"/>
  <c r="C95" i="67" s="1"/>
  <c r="C96" i="67" s="1"/>
  <c r="C97" i="67" s="1"/>
  <c r="C98" i="67" s="1"/>
  <c r="C99" i="67" s="1"/>
  <c r="C100" i="67" s="1"/>
  <c r="C101" i="67" s="1"/>
  <c r="C102" i="67" s="1"/>
  <c r="C103" i="67" s="1"/>
  <c r="C104" i="67" s="1"/>
  <c r="E15" i="67"/>
  <c r="C15" i="67"/>
  <c r="E11" i="67"/>
  <c r="E88" i="67" s="1"/>
  <c r="A8" i="67"/>
  <c r="A6" i="67"/>
  <c r="A83" i="67" s="1"/>
  <c r="A3" i="67"/>
  <c r="A80" i="67" s="1"/>
  <c r="E27" i="66"/>
  <c r="C27" i="66"/>
  <c r="E26" i="66"/>
  <c r="C26" i="66"/>
  <c r="E25" i="66"/>
  <c r="C25" i="66"/>
  <c r="E24" i="66"/>
  <c r="C24" i="66"/>
  <c r="E23" i="66"/>
  <c r="C23" i="66"/>
  <c r="E22" i="66"/>
  <c r="C22" i="66"/>
  <c r="E21" i="66"/>
  <c r="C21" i="66"/>
  <c r="E20" i="66"/>
  <c r="C20" i="66"/>
  <c r="E19" i="66"/>
  <c r="C19" i="66"/>
  <c r="E18" i="66"/>
  <c r="C18" i="66"/>
  <c r="E17" i="66"/>
  <c r="C17" i="66"/>
  <c r="E16" i="66"/>
  <c r="C16" i="66"/>
  <c r="G15" i="66"/>
  <c r="G15" i="67" s="1"/>
  <c r="I15" i="67" s="1"/>
  <c r="E15" i="66"/>
  <c r="C15" i="66"/>
  <c r="A6" i="66"/>
  <c r="A3" i="66"/>
  <c r="G16" i="66"/>
  <c r="G27" i="66" s="1"/>
  <c r="A100" i="67"/>
  <c r="A101" i="67" s="1"/>
  <c r="A102" i="67" s="1"/>
  <c r="A103" i="67" s="1"/>
  <c r="A104" i="67" s="1"/>
  <c r="A105" i="67" s="1"/>
  <c r="A106" i="67" s="1"/>
  <c r="A107" i="67" s="1"/>
  <c r="A108" i="67" s="1"/>
  <c r="A109" i="67" s="1"/>
  <c r="A110" i="67" s="1"/>
  <c r="A111" i="67" s="1"/>
  <c r="A112" i="67" s="1"/>
  <c r="A113" i="67" s="1"/>
  <c r="A114" i="67" s="1"/>
  <c r="A115" i="67" s="1"/>
  <c r="A116" i="67" s="1"/>
  <c r="A117" i="67" s="1"/>
  <c r="A118" i="67" s="1"/>
  <c r="A119" i="67" s="1"/>
  <c r="A120" i="67" s="1"/>
  <c r="A121" i="67" s="1"/>
  <c r="A98" i="67"/>
  <c r="A99" i="67" s="1"/>
  <c r="A96" i="67"/>
  <c r="A97" i="67" s="1"/>
  <c r="A94" i="67"/>
  <c r="A95" i="67" s="1"/>
  <c r="A93" i="67"/>
  <c r="I92" i="67"/>
  <c r="C92" i="67"/>
  <c r="A57" i="67"/>
  <c r="A58" i="67" s="1"/>
  <c r="A59" i="67" s="1"/>
  <c r="A60" i="67" s="1"/>
  <c r="A61" i="67" s="1"/>
  <c r="A62" i="67" s="1"/>
  <c r="A63" i="67" s="1"/>
  <c r="A64" i="67" s="1"/>
  <c r="A65" i="67" s="1"/>
  <c r="A66" i="67" s="1"/>
  <c r="A67" i="67" s="1"/>
  <c r="A68" i="67" s="1"/>
  <c r="A69" i="67" s="1"/>
  <c r="A70" i="67" s="1"/>
  <c r="A71" i="67" s="1"/>
  <c r="A72" i="67" s="1"/>
  <c r="A73" i="67" s="1"/>
  <c r="A74" i="67" s="1"/>
  <c r="A75" i="67" s="1"/>
  <c r="A76" i="67" s="1"/>
  <c r="A77" i="67" s="1"/>
  <c r="A55" i="67"/>
  <c r="A56" i="67" s="1"/>
  <c r="A54" i="67"/>
  <c r="A19" i="67"/>
  <c r="A20" i="67" s="1"/>
  <c r="A21" i="67" s="1"/>
  <c r="A22" i="67" s="1"/>
  <c r="A23" i="67" s="1"/>
  <c r="A24" i="67" s="1"/>
  <c r="A25" i="67" s="1"/>
  <c r="A26" i="67" s="1"/>
  <c r="A27" i="67" s="1"/>
  <c r="A28" i="67" s="1"/>
  <c r="A29" i="67" s="1"/>
  <c r="A30" i="67" s="1"/>
  <c r="A31" i="67" s="1"/>
  <c r="A32" i="67" s="1"/>
  <c r="A33" i="67" s="1"/>
  <c r="A34" i="67" s="1"/>
  <c r="A35" i="67" s="1"/>
  <c r="A36" i="67" s="1"/>
  <c r="A37" i="67" s="1"/>
  <c r="A38" i="67" s="1"/>
  <c r="A18" i="67"/>
  <c r="A17" i="67"/>
  <c r="A16" i="67"/>
  <c r="G26" i="66"/>
  <c r="I26" i="66" s="1"/>
  <c r="E28" i="66"/>
  <c r="E30" i="66" s="1"/>
  <c r="A16" i="66"/>
  <c r="A17" i="66" s="1"/>
  <c r="A18" i="66" s="1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A30" i="66" s="1"/>
  <c r="A31" i="66" s="1"/>
  <c r="A32" i="66" s="1"/>
  <c r="A33" i="66" s="1"/>
  <c r="A34" i="66" s="1"/>
  <c r="A35" i="66" s="1"/>
  <c r="A36" i="66" s="1"/>
  <c r="A37" i="66" s="1"/>
  <c r="A38" i="66" s="1"/>
  <c r="B15" i="65"/>
  <c r="B16" i="65" s="1"/>
  <c r="B17" i="65" s="1"/>
  <c r="B18" i="65" s="1"/>
  <c r="B19" i="65" s="1"/>
  <c r="B20" i="65" s="1"/>
  <c r="B21" i="65" s="1"/>
  <c r="B22" i="65" s="1"/>
  <c r="B23" i="65" s="1"/>
  <c r="B24" i="65" s="1"/>
  <c r="B25" i="65" s="1"/>
  <c r="A3" i="65"/>
  <c r="A3" i="61"/>
  <c r="A3" i="57"/>
  <c r="A3" i="53"/>
  <c r="A3" i="49"/>
  <c r="A3" i="45"/>
  <c r="A3" i="48" s="1"/>
  <c r="A3" i="41"/>
  <c r="A3" i="37"/>
  <c r="A3" i="32"/>
  <c r="A3" i="28"/>
  <c r="A3" i="24"/>
  <c r="A3" i="20"/>
  <c r="A3" i="16"/>
  <c r="A3" i="12"/>
  <c r="A3" i="7"/>
  <c r="A3" i="11" s="1"/>
  <c r="A70" i="11" s="1"/>
  <c r="A41" i="67" l="1"/>
  <c r="A41" i="71"/>
  <c r="A3" i="72"/>
  <c r="A72" i="72" s="1"/>
  <c r="G101" i="94"/>
  <c r="I100" i="94"/>
  <c r="I101" i="90"/>
  <c r="G102" i="90"/>
  <c r="G99" i="84"/>
  <c r="I98" i="84"/>
  <c r="C26" i="83"/>
  <c r="B25" i="82"/>
  <c r="C27" i="83" s="1"/>
  <c r="G99" i="85"/>
  <c r="I98" i="85"/>
  <c r="B23" i="78"/>
  <c r="C24" i="79"/>
  <c r="I97" i="80"/>
  <c r="G98" i="80"/>
  <c r="G73" i="67"/>
  <c r="E58" i="67"/>
  <c r="A44" i="67"/>
  <c r="I15" i="66"/>
  <c r="I27" i="66"/>
  <c r="G27" i="67"/>
  <c r="I27" i="67" s="1"/>
  <c r="G19" i="66"/>
  <c r="G16" i="67"/>
  <c r="G53" i="67" s="1"/>
  <c r="G26" i="67"/>
  <c r="I26" i="67" s="1"/>
  <c r="G23" i="66"/>
  <c r="I15" i="74"/>
  <c r="E116" i="75"/>
  <c r="G73" i="75"/>
  <c r="G116" i="75" s="1"/>
  <c r="E60" i="75"/>
  <c r="G25" i="75"/>
  <c r="I25" i="74"/>
  <c r="E55" i="75"/>
  <c r="G20" i="74"/>
  <c r="I16" i="74"/>
  <c r="G17" i="74"/>
  <c r="G26" i="74"/>
  <c r="E28" i="74"/>
  <c r="E30" i="74" s="1"/>
  <c r="B16" i="73"/>
  <c r="A3" i="74"/>
  <c r="E53" i="75"/>
  <c r="C17" i="75"/>
  <c r="C18" i="75" s="1"/>
  <c r="C19" i="75" s="1"/>
  <c r="C20" i="75" s="1"/>
  <c r="C21" i="75" s="1"/>
  <c r="C22" i="75" s="1"/>
  <c r="C23" i="75" s="1"/>
  <c r="C24" i="75" s="1"/>
  <c r="C25" i="75" s="1"/>
  <c r="C26" i="75" s="1"/>
  <c r="C27" i="75" s="1"/>
  <c r="C93" i="75"/>
  <c r="C94" i="75" s="1"/>
  <c r="C95" i="75" s="1"/>
  <c r="C96" i="75" s="1"/>
  <c r="C97" i="75" s="1"/>
  <c r="C98" i="75" s="1"/>
  <c r="C99" i="75" s="1"/>
  <c r="C100" i="75" s="1"/>
  <c r="C101" i="75" s="1"/>
  <c r="C102" i="75" s="1"/>
  <c r="C103" i="75" s="1"/>
  <c r="C104" i="75" s="1"/>
  <c r="G18" i="74"/>
  <c r="E57" i="75"/>
  <c r="G22" i="74"/>
  <c r="G16" i="75"/>
  <c r="G24" i="74"/>
  <c r="G27" i="74"/>
  <c r="G23" i="74"/>
  <c r="G21" i="74"/>
  <c r="E63" i="75"/>
  <c r="I15" i="75"/>
  <c r="E28" i="75"/>
  <c r="E30" i="75" s="1"/>
  <c r="G19" i="74"/>
  <c r="A41" i="75"/>
  <c r="E88" i="75"/>
  <c r="A83" i="71"/>
  <c r="I15" i="70"/>
  <c r="E116" i="71"/>
  <c r="G73" i="71"/>
  <c r="G116" i="71" s="1"/>
  <c r="G16" i="71"/>
  <c r="G25" i="70"/>
  <c r="G24" i="70"/>
  <c r="G27" i="70"/>
  <c r="G23" i="70"/>
  <c r="G20" i="70"/>
  <c r="E59" i="71"/>
  <c r="G26" i="70"/>
  <c r="I16" i="70"/>
  <c r="G17" i="70"/>
  <c r="E63" i="71"/>
  <c r="B16" i="69"/>
  <c r="A3" i="70"/>
  <c r="E53" i="71"/>
  <c r="C17" i="71"/>
  <c r="C18" i="71" s="1"/>
  <c r="C19" i="71" s="1"/>
  <c r="C20" i="71" s="1"/>
  <c r="C21" i="71" s="1"/>
  <c r="C22" i="71" s="1"/>
  <c r="C23" i="71" s="1"/>
  <c r="C24" i="71" s="1"/>
  <c r="C25" i="71" s="1"/>
  <c r="C26" i="71" s="1"/>
  <c r="C27" i="71" s="1"/>
  <c r="C93" i="71"/>
  <c r="C94" i="71" s="1"/>
  <c r="C95" i="71" s="1"/>
  <c r="C96" i="71" s="1"/>
  <c r="C97" i="71" s="1"/>
  <c r="C98" i="71" s="1"/>
  <c r="C99" i="71" s="1"/>
  <c r="C100" i="71" s="1"/>
  <c r="C101" i="71" s="1"/>
  <c r="C102" i="71" s="1"/>
  <c r="C103" i="71" s="1"/>
  <c r="C104" i="71" s="1"/>
  <c r="G18" i="70"/>
  <c r="E57" i="71"/>
  <c r="G22" i="70"/>
  <c r="E28" i="70"/>
  <c r="E30" i="70" s="1"/>
  <c r="G21" i="70"/>
  <c r="E54" i="71"/>
  <c r="E28" i="71"/>
  <c r="E30" i="71" s="1"/>
  <c r="G19" i="70"/>
  <c r="E88" i="71"/>
  <c r="C17" i="67"/>
  <c r="C18" i="67" s="1"/>
  <c r="C19" i="67" s="1"/>
  <c r="C20" i="67" s="1"/>
  <c r="C21" i="67" s="1"/>
  <c r="C22" i="67" s="1"/>
  <c r="C23" i="67" s="1"/>
  <c r="C24" i="67" s="1"/>
  <c r="C25" i="67" s="1"/>
  <c r="C26" i="67" s="1"/>
  <c r="C27" i="67" s="1"/>
  <c r="I16" i="67"/>
  <c r="E62" i="67"/>
  <c r="G64" i="67"/>
  <c r="E56" i="67"/>
  <c r="E28" i="67"/>
  <c r="E30" i="67" s="1"/>
  <c r="E55" i="67"/>
  <c r="E63" i="67"/>
  <c r="E64" i="67"/>
  <c r="E60" i="67"/>
  <c r="G116" i="67"/>
  <c r="E59" i="67"/>
  <c r="E61" i="67"/>
  <c r="E49" i="67"/>
  <c r="C73" i="67" s="1"/>
  <c r="C116" i="67" s="1"/>
  <c r="G55" i="67"/>
  <c r="C53" i="67"/>
  <c r="C54" i="67" s="1"/>
  <c r="C55" i="67" s="1"/>
  <c r="C56" i="67" s="1"/>
  <c r="C57" i="67" s="1"/>
  <c r="C58" i="67" s="1"/>
  <c r="C59" i="67" s="1"/>
  <c r="C60" i="67" s="1"/>
  <c r="C61" i="67" s="1"/>
  <c r="C62" i="67" s="1"/>
  <c r="C63" i="67" s="1"/>
  <c r="C64" i="67" s="1"/>
  <c r="G20" i="66"/>
  <c r="G24" i="66"/>
  <c r="I16" i="66"/>
  <c r="G17" i="66"/>
  <c r="G17" i="67" s="1"/>
  <c r="I17" i="67" s="1"/>
  <c r="G21" i="66"/>
  <c r="G25" i="66"/>
  <c r="G18" i="66"/>
  <c r="G22" i="66"/>
  <c r="K67" i="5"/>
  <c r="A3" i="3"/>
  <c r="A6" i="64"/>
  <c r="A75" i="64" s="1"/>
  <c r="A3" i="64"/>
  <c r="A72" i="64" s="1"/>
  <c r="A93" i="63"/>
  <c r="A94" i="63" s="1"/>
  <c r="A95" i="63" s="1"/>
  <c r="A96" i="63" s="1"/>
  <c r="A97" i="63" s="1"/>
  <c r="A98" i="63" s="1"/>
  <c r="A99" i="63" s="1"/>
  <c r="A100" i="63" s="1"/>
  <c r="A101" i="63" s="1"/>
  <c r="A102" i="63" s="1"/>
  <c r="A103" i="63" s="1"/>
  <c r="A104" i="63" s="1"/>
  <c r="A105" i="63" s="1"/>
  <c r="A106" i="63" s="1"/>
  <c r="A107" i="63" s="1"/>
  <c r="A108" i="63" s="1"/>
  <c r="A109" i="63" s="1"/>
  <c r="A110" i="63" s="1"/>
  <c r="A111" i="63" s="1"/>
  <c r="A112" i="63" s="1"/>
  <c r="A113" i="63" s="1"/>
  <c r="A114" i="63" s="1"/>
  <c r="A115" i="63" s="1"/>
  <c r="A116" i="63" s="1"/>
  <c r="A117" i="63" s="1"/>
  <c r="A118" i="63" s="1"/>
  <c r="A119" i="63" s="1"/>
  <c r="A120" i="63" s="1"/>
  <c r="A121" i="63" s="1"/>
  <c r="I92" i="63"/>
  <c r="M73" i="63"/>
  <c r="K73" i="63"/>
  <c r="A54" i="63"/>
  <c r="A55" i="63" s="1"/>
  <c r="A56" i="63" s="1"/>
  <c r="A57" i="63" s="1"/>
  <c r="A58" i="63" s="1"/>
  <c r="A59" i="63" s="1"/>
  <c r="A60" i="63" s="1"/>
  <c r="A61" i="63" s="1"/>
  <c r="A62" i="63" s="1"/>
  <c r="A63" i="63" s="1"/>
  <c r="A64" i="63" s="1"/>
  <c r="A65" i="63" s="1"/>
  <c r="A66" i="63" s="1"/>
  <c r="A67" i="63" s="1"/>
  <c r="A68" i="63" s="1"/>
  <c r="A69" i="63" s="1"/>
  <c r="A70" i="63" s="1"/>
  <c r="A71" i="63" s="1"/>
  <c r="A72" i="63" s="1"/>
  <c r="A73" i="63" s="1"/>
  <c r="A74" i="63" s="1"/>
  <c r="A75" i="63" s="1"/>
  <c r="A76" i="63" s="1"/>
  <c r="A77" i="63" s="1"/>
  <c r="E27" i="63"/>
  <c r="E25" i="63"/>
  <c r="E19" i="63"/>
  <c r="E17" i="63"/>
  <c r="A16" i="63"/>
  <c r="A17" i="63" s="1"/>
  <c r="A18" i="63" s="1"/>
  <c r="A19" i="63" s="1"/>
  <c r="A20" i="63" s="1"/>
  <c r="A21" i="63" s="1"/>
  <c r="A22" i="63" s="1"/>
  <c r="A23" i="63" s="1"/>
  <c r="A24" i="63" s="1"/>
  <c r="A25" i="63" s="1"/>
  <c r="A26" i="63" s="1"/>
  <c r="A27" i="63" s="1"/>
  <c r="A28" i="63" s="1"/>
  <c r="A29" i="63" s="1"/>
  <c r="A30" i="63" s="1"/>
  <c r="A31" i="63" s="1"/>
  <c r="A32" i="63" s="1"/>
  <c r="A33" i="63" s="1"/>
  <c r="A34" i="63" s="1"/>
  <c r="A35" i="63" s="1"/>
  <c r="A36" i="63" s="1"/>
  <c r="A37" i="63" s="1"/>
  <c r="A38" i="63" s="1"/>
  <c r="E11" i="63"/>
  <c r="E88" i="63" s="1"/>
  <c r="A8" i="63"/>
  <c r="A6" i="63"/>
  <c r="A83" i="63" s="1"/>
  <c r="A3" i="63"/>
  <c r="A80" i="63" s="1"/>
  <c r="E27" i="62"/>
  <c r="E26" i="62"/>
  <c r="E26" i="63" s="1"/>
  <c r="E25" i="62"/>
  <c r="E24" i="62"/>
  <c r="E24" i="63" s="1"/>
  <c r="E23" i="62"/>
  <c r="E23" i="63" s="1"/>
  <c r="E22" i="62"/>
  <c r="E22" i="63" s="1"/>
  <c r="E21" i="62"/>
  <c r="E21" i="63" s="1"/>
  <c r="E20" i="62"/>
  <c r="E20" i="63" s="1"/>
  <c r="E19" i="62"/>
  <c r="E18" i="62"/>
  <c r="E18" i="63" s="1"/>
  <c r="E17" i="62"/>
  <c r="G16" i="62"/>
  <c r="G26" i="62" s="1"/>
  <c r="E16" i="62"/>
  <c r="E16" i="63" s="1"/>
  <c r="C16" i="62"/>
  <c r="C16" i="63" s="1"/>
  <c r="C93" i="63" s="1"/>
  <c r="C94" i="63" s="1"/>
  <c r="C95" i="63" s="1"/>
  <c r="C96" i="63" s="1"/>
  <c r="C97" i="63" s="1"/>
  <c r="C98" i="63" s="1"/>
  <c r="C99" i="63" s="1"/>
  <c r="C100" i="63" s="1"/>
  <c r="C101" i="63" s="1"/>
  <c r="C102" i="63" s="1"/>
  <c r="C103" i="63" s="1"/>
  <c r="C104" i="63" s="1"/>
  <c r="A16" i="62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G15" i="62"/>
  <c r="G15" i="63" s="1"/>
  <c r="E15" i="62"/>
  <c r="E15" i="63" s="1"/>
  <c r="C15" i="62"/>
  <c r="C15" i="63" s="1"/>
  <c r="C92" i="63" s="1"/>
  <c r="A6" i="62"/>
  <c r="A3" i="62"/>
  <c r="B15" i="61"/>
  <c r="B16" i="61" s="1"/>
  <c r="E73" i="63"/>
  <c r="I101" i="94" l="1"/>
  <c r="G102" i="94"/>
  <c r="I102" i="90"/>
  <c r="G103" i="90"/>
  <c r="E54" i="75"/>
  <c r="E62" i="75"/>
  <c r="E58" i="75"/>
  <c r="E59" i="75"/>
  <c r="E61" i="75"/>
  <c r="E56" i="75"/>
  <c r="E58" i="71"/>
  <c r="E61" i="71"/>
  <c r="E60" i="71"/>
  <c r="E55" i="71"/>
  <c r="E62" i="71"/>
  <c r="E64" i="71"/>
  <c r="G100" i="85"/>
  <c r="I99" i="85"/>
  <c r="G100" i="84"/>
  <c r="I99" i="84"/>
  <c r="G99" i="80"/>
  <c r="I98" i="80"/>
  <c r="C25" i="79"/>
  <c r="B24" i="78"/>
  <c r="E54" i="67"/>
  <c r="E53" i="67"/>
  <c r="E93" i="67" s="1"/>
  <c r="E57" i="67"/>
  <c r="G54" i="67"/>
  <c r="I54" i="67" s="1"/>
  <c r="I19" i="66"/>
  <c r="G19" i="67"/>
  <c r="I25" i="66"/>
  <c r="G25" i="67"/>
  <c r="I24" i="66"/>
  <c r="G24" i="67"/>
  <c r="I21" i="66"/>
  <c r="G21" i="67"/>
  <c r="I20" i="66"/>
  <c r="G20" i="67"/>
  <c r="K67" i="67"/>
  <c r="I23" i="66"/>
  <c r="G23" i="67"/>
  <c r="I18" i="66"/>
  <c r="G18" i="67"/>
  <c r="G93" i="67"/>
  <c r="G94" i="67" s="1"/>
  <c r="I22" i="66"/>
  <c r="G22" i="67"/>
  <c r="G22" i="75"/>
  <c r="I22" i="74"/>
  <c r="G21" i="75"/>
  <c r="I21" i="74"/>
  <c r="G24" i="75"/>
  <c r="I24" i="74"/>
  <c r="G18" i="75"/>
  <c r="I18" i="74"/>
  <c r="I17" i="74"/>
  <c r="G17" i="75"/>
  <c r="G28" i="75" s="1"/>
  <c r="G30" i="75" s="1"/>
  <c r="G63" i="75"/>
  <c r="I63" i="75" s="1"/>
  <c r="I25" i="75"/>
  <c r="G27" i="75"/>
  <c r="I27" i="75" s="1"/>
  <c r="I27" i="74"/>
  <c r="G28" i="74"/>
  <c r="G30" i="74" s="1"/>
  <c r="E93" i="75"/>
  <c r="G26" i="75"/>
  <c r="I26" i="74"/>
  <c r="G19" i="75"/>
  <c r="I19" i="74"/>
  <c r="G23" i="75"/>
  <c r="I23" i="74"/>
  <c r="K67" i="75"/>
  <c r="G53" i="75"/>
  <c r="G54" i="75"/>
  <c r="I54" i="75" s="1"/>
  <c r="I16" i="75"/>
  <c r="B17" i="73"/>
  <c r="C18" i="74"/>
  <c r="G20" i="75"/>
  <c r="I20" i="74"/>
  <c r="E64" i="75"/>
  <c r="G18" i="71"/>
  <c r="I18" i="70"/>
  <c r="B17" i="69"/>
  <c r="C18" i="70"/>
  <c r="G24" i="71"/>
  <c r="I24" i="70"/>
  <c r="E56" i="71"/>
  <c r="E65" i="71" s="1"/>
  <c r="G17" i="71"/>
  <c r="I17" i="70"/>
  <c r="A39" i="71"/>
  <c r="A78" i="71"/>
  <c r="G19" i="71"/>
  <c r="I19" i="70"/>
  <c r="G21" i="71"/>
  <c r="I21" i="70"/>
  <c r="G22" i="71"/>
  <c r="I22" i="70"/>
  <c r="G26" i="71"/>
  <c r="I26" i="70"/>
  <c r="G23" i="71"/>
  <c r="I23" i="70"/>
  <c r="I25" i="70"/>
  <c r="G25" i="71"/>
  <c r="A81" i="71"/>
  <c r="A42" i="71"/>
  <c r="G20" i="71"/>
  <c r="I20" i="70"/>
  <c r="G28" i="70"/>
  <c r="G30" i="70" s="1"/>
  <c r="E93" i="71"/>
  <c r="A40" i="71"/>
  <c r="A79" i="71"/>
  <c r="G27" i="71"/>
  <c r="I27" i="71" s="1"/>
  <c r="I27" i="70"/>
  <c r="K67" i="71"/>
  <c r="G53" i="71"/>
  <c r="I16" i="71"/>
  <c r="G54" i="71"/>
  <c r="I54" i="71" s="1"/>
  <c r="I55" i="67"/>
  <c r="E65" i="67"/>
  <c r="E94" i="67"/>
  <c r="E95" i="67" s="1"/>
  <c r="E96" i="67" s="1"/>
  <c r="E97" i="67" s="1"/>
  <c r="E98" i="67" s="1"/>
  <c r="E99" i="67" s="1"/>
  <c r="E100" i="67" s="1"/>
  <c r="E101" i="67" s="1"/>
  <c r="E102" i="67" s="1"/>
  <c r="E103" i="67" s="1"/>
  <c r="E104" i="67" s="1"/>
  <c r="I64" i="67"/>
  <c r="I17" i="66"/>
  <c r="I28" i="66" s="1"/>
  <c r="I30" i="66" s="1"/>
  <c r="I33" i="66" s="1"/>
  <c r="G28" i="66"/>
  <c r="G30" i="66" s="1"/>
  <c r="G23" i="62"/>
  <c r="G23" i="63" s="1"/>
  <c r="G25" i="62"/>
  <c r="G25" i="63" s="1"/>
  <c r="I25" i="63" s="1"/>
  <c r="G17" i="62"/>
  <c r="G17" i="63" s="1"/>
  <c r="I15" i="63"/>
  <c r="G21" i="62"/>
  <c r="G21" i="63" s="1"/>
  <c r="I21" i="63" s="1"/>
  <c r="G16" i="63"/>
  <c r="K67" i="63" s="1"/>
  <c r="G19" i="62"/>
  <c r="G19" i="63" s="1"/>
  <c r="I19" i="63" s="1"/>
  <c r="G27" i="62"/>
  <c r="G27" i="63" s="1"/>
  <c r="I27" i="63" s="1"/>
  <c r="C18" i="62"/>
  <c r="B17" i="61"/>
  <c r="G26" i="63"/>
  <c r="I26" i="62"/>
  <c r="I17" i="63"/>
  <c r="E28" i="63"/>
  <c r="E30" i="63" s="1"/>
  <c r="I23" i="63"/>
  <c r="I16" i="62"/>
  <c r="C17" i="62"/>
  <c r="E49" i="63"/>
  <c r="C73" i="63" s="1"/>
  <c r="C116" i="63" s="1"/>
  <c r="E116" i="63"/>
  <c r="G73" i="63"/>
  <c r="G116" i="63" s="1"/>
  <c r="I15" i="62"/>
  <c r="I17" i="62"/>
  <c r="G18" i="62"/>
  <c r="I19" i="62"/>
  <c r="G20" i="62"/>
  <c r="I21" i="62"/>
  <c r="G22" i="62"/>
  <c r="I23" i="62"/>
  <c r="G24" i="62"/>
  <c r="E28" i="62"/>
  <c r="E30" i="62" s="1"/>
  <c r="C17" i="63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A41" i="63"/>
  <c r="A44" i="63"/>
  <c r="C53" i="63"/>
  <c r="C54" i="63" s="1"/>
  <c r="C55" i="63" s="1"/>
  <c r="C56" i="63" s="1"/>
  <c r="C57" i="63" s="1"/>
  <c r="C58" i="63" s="1"/>
  <c r="C59" i="63" s="1"/>
  <c r="C60" i="63" s="1"/>
  <c r="C61" i="63" s="1"/>
  <c r="C62" i="63" s="1"/>
  <c r="C63" i="63" s="1"/>
  <c r="C64" i="63" s="1"/>
  <c r="G103" i="94" l="1"/>
  <c r="I102" i="94"/>
  <c r="I103" i="90"/>
  <c r="G104" i="90"/>
  <c r="E65" i="75"/>
  <c r="G101" i="84"/>
  <c r="I100" i="84"/>
  <c r="G101" i="85"/>
  <c r="I100" i="85"/>
  <c r="C26" i="79"/>
  <c r="B25" i="78"/>
  <c r="C27" i="79" s="1"/>
  <c r="I99" i="80"/>
  <c r="G100" i="80"/>
  <c r="I25" i="62"/>
  <c r="I16" i="63"/>
  <c r="I53" i="67"/>
  <c r="I20" i="67"/>
  <c r="G58" i="67"/>
  <c r="I58" i="67" s="1"/>
  <c r="I93" i="67"/>
  <c r="I24" i="67"/>
  <c r="G62" i="67"/>
  <c r="I62" i="67" s="1"/>
  <c r="I19" i="67"/>
  <c r="G57" i="67"/>
  <c r="I57" i="67" s="1"/>
  <c r="I18" i="67"/>
  <c r="G56" i="67"/>
  <c r="I22" i="67"/>
  <c r="G60" i="67"/>
  <c r="I60" i="67" s="1"/>
  <c r="G28" i="67"/>
  <c r="G30" i="67" s="1"/>
  <c r="G59" i="67"/>
  <c r="I59" i="67" s="1"/>
  <c r="I21" i="67"/>
  <c r="G61" i="67"/>
  <c r="I61" i="67" s="1"/>
  <c r="I23" i="67"/>
  <c r="I25" i="67"/>
  <c r="G63" i="67"/>
  <c r="I63" i="67" s="1"/>
  <c r="I28" i="74"/>
  <c r="I30" i="74" s="1"/>
  <c r="I33" i="74" s="1"/>
  <c r="I23" i="75"/>
  <c r="G61" i="75"/>
  <c r="I61" i="75" s="1"/>
  <c r="G55" i="75"/>
  <c r="I55" i="75" s="1"/>
  <c r="I17" i="75"/>
  <c r="G93" i="75"/>
  <c r="I53" i="75"/>
  <c r="I22" i="75"/>
  <c r="G60" i="75"/>
  <c r="I60" i="75" s="1"/>
  <c r="G58" i="75"/>
  <c r="I58" i="75" s="1"/>
  <c r="I20" i="75"/>
  <c r="I19" i="75"/>
  <c r="G57" i="75"/>
  <c r="I57" i="75" s="1"/>
  <c r="E94" i="75"/>
  <c r="E95" i="75" s="1"/>
  <c r="E96" i="75" s="1"/>
  <c r="E97" i="75" s="1"/>
  <c r="E98" i="75" s="1"/>
  <c r="E99" i="75" s="1"/>
  <c r="E100" i="75" s="1"/>
  <c r="E101" i="75" s="1"/>
  <c r="E102" i="75" s="1"/>
  <c r="E103" i="75" s="1"/>
  <c r="E104" i="75" s="1"/>
  <c r="I26" i="75"/>
  <c r="G64" i="75"/>
  <c r="I64" i="75" s="1"/>
  <c r="C19" i="74"/>
  <c r="B18" i="73"/>
  <c r="G62" i="75"/>
  <c r="I62" i="75" s="1"/>
  <c r="I24" i="75"/>
  <c r="I18" i="75"/>
  <c r="G56" i="75"/>
  <c r="I56" i="75" s="1"/>
  <c r="G59" i="75"/>
  <c r="I59" i="75" s="1"/>
  <c r="I21" i="75"/>
  <c r="I28" i="70"/>
  <c r="I30" i="70" s="1"/>
  <c r="I33" i="70" s="1"/>
  <c r="G58" i="71"/>
  <c r="I58" i="71" s="1"/>
  <c r="I20" i="71"/>
  <c r="I26" i="71"/>
  <c r="G64" i="71"/>
  <c r="I64" i="71" s="1"/>
  <c r="G59" i="71"/>
  <c r="I59" i="71" s="1"/>
  <c r="I21" i="71"/>
  <c r="C19" i="70"/>
  <c r="B18" i="69"/>
  <c r="G63" i="71"/>
  <c r="I63" i="71" s="1"/>
  <c r="I25" i="71"/>
  <c r="G28" i="71"/>
  <c r="G30" i="71" s="1"/>
  <c r="E94" i="71"/>
  <c r="E95" i="71" s="1"/>
  <c r="E96" i="71" s="1"/>
  <c r="E97" i="71" s="1"/>
  <c r="E98" i="71" s="1"/>
  <c r="E99" i="71" s="1"/>
  <c r="E100" i="71" s="1"/>
  <c r="E101" i="71" s="1"/>
  <c r="E102" i="71" s="1"/>
  <c r="E103" i="71" s="1"/>
  <c r="E104" i="71" s="1"/>
  <c r="I24" i="71"/>
  <c r="G62" i="71"/>
  <c r="I62" i="71" s="1"/>
  <c r="G93" i="71"/>
  <c r="I53" i="71"/>
  <c r="I23" i="71"/>
  <c r="G61" i="71"/>
  <c r="I61" i="71" s="1"/>
  <c r="I22" i="71"/>
  <c r="G60" i="71"/>
  <c r="I60" i="71" s="1"/>
  <c r="I19" i="71"/>
  <c r="G57" i="71"/>
  <c r="I57" i="71" s="1"/>
  <c r="G55" i="71"/>
  <c r="I55" i="71" s="1"/>
  <c r="I17" i="71"/>
  <c r="I18" i="71"/>
  <c r="G56" i="71"/>
  <c r="I56" i="71" s="1"/>
  <c r="G95" i="67"/>
  <c r="I94" i="67"/>
  <c r="E105" i="67"/>
  <c r="E107" i="67" s="1"/>
  <c r="G54" i="63"/>
  <c r="G53" i="63"/>
  <c r="G93" i="63" s="1"/>
  <c r="I27" i="62"/>
  <c r="G28" i="62"/>
  <c r="G30" i="62" s="1"/>
  <c r="E61" i="63"/>
  <c r="E53" i="63"/>
  <c r="I53" i="63" s="1"/>
  <c r="E60" i="63"/>
  <c r="G57" i="63"/>
  <c r="E59" i="63"/>
  <c r="E62" i="63"/>
  <c r="G59" i="63"/>
  <c r="B18" i="61"/>
  <c r="C19" i="62"/>
  <c r="G24" i="63"/>
  <c r="I24" i="62"/>
  <c r="I22" i="62"/>
  <c r="G22" i="63"/>
  <c r="G20" i="63"/>
  <c r="I20" i="62"/>
  <c r="G18" i="63"/>
  <c r="I18" i="62"/>
  <c r="E63" i="63"/>
  <c r="E57" i="63"/>
  <c r="E64" i="63"/>
  <c r="G61" i="63"/>
  <c r="I61" i="63" s="1"/>
  <c r="E56" i="63"/>
  <c r="E54" i="63"/>
  <c r="E55" i="63"/>
  <c r="G63" i="63"/>
  <c r="E58" i="63"/>
  <c r="G55" i="63"/>
  <c r="I26" i="63"/>
  <c r="G64" i="63"/>
  <c r="I103" i="94" l="1"/>
  <c r="G104" i="94"/>
  <c r="I104" i="90"/>
  <c r="I105" i="90" s="1"/>
  <c r="I107" i="90" s="1"/>
  <c r="I110" i="90" s="1"/>
  <c r="G105" i="90"/>
  <c r="G107" i="90" s="1"/>
  <c r="G102" i="85"/>
  <c r="I101" i="85"/>
  <c r="G102" i="84"/>
  <c r="I101" i="84"/>
  <c r="G101" i="80"/>
  <c r="I100" i="80"/>
  <c r="I54" i="63"/>
  <c r="I28" i="67"/>
  <c r="I30" i="67" s="1"/>
  <c r="I33" i="67" s="1"/>
  <c r="L20" i="2" s="1"/>
  <c r="P20" i="2" s="1"/>
  <c r="I56" i="67"/>
  <c r="I65" i="67" s="1"/>
  <c r="I67" i="67" s="1"/>
  <c r="G65" i="67"/>
  <c r="I28" i="75"/>
  <c r="I30" i="75" s="1"/>
  <c r="I33" i="75" s="1"/>
  <c r="B19" i="73"/>
  <c r="C20" i="74"/>
  <c r="G94" i="75"/>
  <c r="I93" i="75"/>
  <c r="E105" i="75"/>
  <c r="E107" i="75" s="1"/>
  <c r="G65" i="75"/>
  <c r="I65" i="75"/>
  <c r="I67" i="75" s="1"/>
  <c r="I28" i="71"/>
  <c r="I30" i="71" s="1"/>
  <c r="I33" i="71" s="1"/>
  <c r="L18" i="2" s="1"/>
  <c r="P18" i="2" s="1"/>
  <c r="E105" i="71"/>
  <c r="E107" i="71" s="1"/>
  <c r="I65" i="71"/>
  <c r="I67" i="71" s="1"/>
  <c r="R61" i="2" s="1"/>
  <c r="G94" i="71"/>
  <c r="I93" i="71"/>
  <c r="B19" i="69"/>
  <c r="C20" i="70"/>
  <c r="G65" i="71"/>
  <c r="G96" i="67"/>
  <c r="I95" i="67"/>
  <c r="I64" i="63"/>
  <c r="I28" i="62"/>
  <c r="I30" i="62" s="1"/>
  <c r="I33" i="62" s="1"/>
  <c r="I63" i="63"/>
  <c r="I55" i="63"/>
  <c r="I59" i="63"/>
  <c r="I22" i="63"/>
  <c r="G60" i="63"/>
  <c r="I60" i="63" s="1"/>
  <c r="G94" i="63"/>
  <c r="G56" i="63"/>
  <c r="I56" i="63" s="1"/>
  <c r="I18" i="63"/>
  <c r="G28" i="63"/>
  <c r="G30" i="63" s="1"/>
  <c r="G58" i="63"/>
  <c r="I58" i="63" s="1"/>
  <c r="I20" i="63"/>
  <c r="I24" i="63"/>
  <c r="G62" i="63"/>
  <c r="I62" i="63" s="1"/>
  <c r="C20" i="62"/>
  <c r="B19" i="61"/>
  <c r="I57" i="63"/>
  <c r="E93" i="63"/>
  <c r="E65" i="63"/>
  <c r="I104" i="94" l="1"/>
  <c r="I105" i="94" s="1"/>
  <c r="I107" i="94" s="1"/>
  <c r="I110" i="94" s="1"/>
  <c r="G105" i="94"/>
  <c r="G107" i="94" s="1"/>
  <c r="M67" i="75"/>
  <c r="M53" i="75" s="1"/>
  <c r="R62" i="2"/>
  <c r="G103" i="84"/>
  <c r="I102" i="84"/>
  <c r="G103" i="85"/>
  <c r="I102" i="85"/>
  <c r="G102" i="80"/>
  <c r="I101" i="80"/>
  <c r="M67" i="67"/>
  <c r="M53" i="67" s="1"/>
  <c r="R63" i="2"/>
  <c r="G95" i="75"/>
  <c r="I94" i="75"/>
  <c r="M54" i="75"/>
  <c r="M55" i="75" s="1"/>
  <c r="M56" i="75" s="1"/>
  <c r="M57" i="75" s="1"/>
  <c r="M58" i="75" s="1"/>
  <c r="M59" i="75" s="1"/>
  <c r="M60" i="75" s="1"/>
  <c r="M61" i="75" s="1"/>
  <c r="M62" i="75" s="1"/>
  <c r="M63" i="75" s="1"/>
  <c r="M64" i="75" s="1"/>
  <c r="M93" i="75"/>
  <c r="C21" i="74"/>
  <c r="B20" i="73"/>
  <c r="M67" i="71"/>
  <c r="M63" i="71" s="1"/>
  <c r="G95" i="71"/>
  <c r="I94" i="71"/>
  <c r="C21" i="70"/>
  <c r="B20" i="69"/>
  <c r="M56" i="71"/>
  <c r="G97" i="67"/>
  <c r="I96" i="67"/>
  <c r="G65" i="63"/>
  <c r="I65" i="63"/>
  <c r="I67" i="63" s="1"/>
  <c r="M67" i="63" s="1"/>
  <c r="M53" i="63" s="1"/>
  <c r="E94" i="63"/>
  <c r="E95" i="63" s="1"/>
  <c r="E96" i="63" s="1"/>
  <c r="E97" i="63" s="1"/>
  <c r="E98" i="63" s="1"/>
  <c r="E99" i="63" s="1"/>
  <c r="E100" i="63" s="1"/>
  <c r="E101" i="63" s="1"/>
  <c r="E102" i="63" s="1"/>
  <c r="E103" i="63" s="1"/>
  <c r="E104" i="63" s="1"/>
  <c r="B20" i="61"/>
  <c r="C21" i="62"/>
  <c r="I28" i="63"/>
  <c r="I30" i="63" s="1"/>
  <c r="I33" i="63" s="1"/>
  <c r="L30" i="2" s="1"/>
  <c r="P30" i="2" s="1"/>
  <c r="I93" i="63"/>
  <c r="G95" i="63"/>
  <c r="G104" i="85" l="1"/>
  <c r="I103" i="85"/>
  <c r="I103" i="84"/>
  <c r="G104" i="84"/>
  <c r="G103" i="80"/>
  <c r="I102" i="80"/>
  <c r="M93" i="67"/>
  <c r="M54" i="67"/>
  <c r="M55" i="67" s="1"/>
  <c r="M56" i="67" s="1"/>
  <c r="M57" i="67" s="1"/>
  <c r="M58" i="67" s="1"/>
  <c r="M59" i="67" s="1"/>
  <c r="M60" i="67" s="1"/>
  <c r="M61" i="67" s="1"/>
  <c r="M62" i="67" s="1"/>
  <c r="M63" i="67" s="1"/>
  <c r="M64" i="67" s="1"/>
  <c r="B21" i="73"/>
  <c r="C22" i="74"/>
  <c r="M65" i="75"/>
  <c r="M94" i="75"/>
  <c r="M95" i="75" s="1"/>
  <c r="M96" i="75" s="1"/>
  <c r="M97" i="75" s="1"/>
  <c r="M98" i="75" s="1"/>
  <c r="M99" i="75" s="1"/>
  <c r="M100" i="75" s="1"/>
  <c r="M101" i="75" s="1"/>
  <c r="M102" i="75" s="1"/>
  <c r="M103" i="75" s="1"/>
  <c r="M104" i="75" s="1"/>
  <c r="G96" i="75"/>
  <c r="I95" i="75"/>
  <c r="G96" i="71"/>
  <c r="I95" i="71"/>
  <c r="M59" i="71"/>
  <c r="M64" i="71"/>
  <c r="M53" i="71"/>
  <c r="M58" i="71"/>
  <c r="B21" i="69"/>
  <c r="C22" i="70"/>
  <c r="M61" i="71"/>
  <c r="M54" i="71"/>
  <c r="M57" i="71"/>
  <c r="M55" i="71"/>
  <c r="M62" i="71"/>
  <c r="M60" i="71"/>
  <c r="G98" i="67"/>
  <c r="I97" i="67"/>
  <c r="I94" i="63"/>
  <c r="R73" i="2"/>
  <c r="G96" i="63"/>
  <c r="I95" i="63"/>
  <c r="C22" i="62"/>
  <c r="B21" i="61"/>
  <c r="E105" i="63"/>
  <c r="E107" i="63" s="1"/>
  <c r="I104" i="84" l="1"/>
  <c r="I105" i="84" s="1"/>
  <c r="I107" i="84" s="1"/>
  <c r="I110" i="84" s="1"/>
  <c r="L75" i="2" s="1"/>
  <c r="P75" i="2" s="1"/>
  <c r="G105" i="84"/>
  <c r="G107" i="84" s="1"/>
  <c r="I104" i="85"/>
  <c r="I105" i="85" s="1"/>
  <c r="I107" i="85" s="1"/>
  <c r="I110" i="85" s="1"/>
  <c r="G105" i="85"/>
  <c r="G107" i="85" s="1"/>
  <c r="I103" i="80"/>
  <c r="G104" i="80"/>
  <c r="M65" i="67"/>
  <c r="M94" i="67"/>
  <c r="M95" i="67" s="1"/>
  <c r="M96" i="67" s="1"/>
  <c r="M97" i="67" s="1"/>
  <c r="M98" i="67" s="1"/>
  <c r="M99" i="67" s="1"/>
  <c r="M100" i="67" s="1"/>
  <c r="M101" i="67" s="1"/>
  <c r="M102" i="67" s="1"/>
  <c r="M103" i="67" s="1"/>
  <c r="M104" i="67" s="1"/>
  <c r="G97" i="75"/>
  <c r="I96" i="75"/>
  <c r="M105" i="75"/>
  <c r="M107" i="75" s="1"/>
  <c r="M110" i="75" s="1"/>
  <c r="T62" i="2" s="1"/>
  <c r="C23" i="74"/>
  <c r="B22" i="73"/>
  <c r="C23" i="70"/>
  <c r="B22" i="69"/>
  <c r="M65" i="71"/>
  <c r="M93" i="71"/>
  <c r="G97" i="71"/>
  <c r="I96" i="71"/>
  <c r="G99" i="67"/>
  <c r="I98" i="67"/>
  <c r="M93" i="63"/>
  <c r="M54" i="63"/>
  <c r="M55" i="63" s="1"/>
  <c r="M56" i="63" s="1"/>
  <c r="M57" i="63" s="1"/>
  <c r="M58" i="63" s="1"/>
  <c r="M59" i="63" s="1"/>
  <c r="M60" i="63" s="1"/>
  <c r="M61" i="63" s="1"/>
  <c r="M62" i="63" s="1"/>
  <c r="M63" i="63" s="1"/>
  <c r="M64" i="63" s="1"/>
  <c r="B22" i="61"/>
  <c r="C23" i="62"/>
  <c r="G97" i="63"/>
  <c r="I96" i="63"/>
  <c r="I104" i="80" l="1"/>
  <c r="I105" i="80" s="1"/>
  <c r="I107" i="80" s="1"/>
  <c r="I110" i="80" s="1"/>
  <c r="G105" i="80"/>
  <c r="G107" i="80" s="1"/>
  <c r="M105" i="67"/>
  <c r="M107" i="67" s="1"/>
  <c r="M110" i="67" s="1"/>
  <c r="T63" i="2" s="1"/>
  <c r="B23" i="73"/>
  <c r="C24" i="74"/>
  <c r="G98" i="75"/>
  <c r="I97" i="75"/>
  <c r="B23" i="69"/>
  <c r="C24" i="70"/>
  <c r="G98" i="71"/>
  <c r="I97" i="71"/>
  <c r="M94" i="71"/>
  <c r="M95" i="71" s="1"/>
  <c r="M96" i="71" s="1"/>
  <c r="M97" i="71" s="1"/>
  <c r="M98" i="71" s="1"/>
  <c r="M99" i="71" s="1"/>
  <c r="M100" i="71" s="1"/>
  <c r="M101" i="71" s="1"/>
  <c r="M102" i="71" s="1"/>
  <c r="M103" i="71" s="1"/>
  <c r="M104" i="71" s="1"/>
  <c r="G100" i="67"/>
  <c r="I99" i="67"/>
  <c r="M65" i="63"/>
  <c r="M94" i="63"/>
  <c r="G98" i="63"/>
  <c r="I97" i="63"/>
  <c r="C24" i="62"/>
  <c r="B23" i="61"/>
  <c r="G99" i="75" l="1"/>
  <c r="I98" i="75"/>
  <c r="C25" i="74"/>
  <c r="B24" i="73"/>
  <c r="M105" i="71"/>
  <c r="M107" i="71" s="1"/>
  <c r="M110" i="71" s="1"/>
  <c r="T61" i="2" s="1"/>
  <c r="G99" i="71"/>
  <c r="I98" i="71"/>
  <c r="C25" i="70"/>
  <c r="B24" i="69"/>
  <c r="G101" i="67"/>
  <c r="I100" i="67"/>
  <c r="M95" i="63"/>
  <c r="M96" i="63" s="1"/>
  <c r="M97" i="63" s="1"/>
  <c r="M98" i="63" s="1"/>
  <c r="M99" i="63" s="1"/>
  <c r="M100" i="63" s="1"/>
  <c r="M101" i="63" s="1"/>
  <c r="M102" i="63" s="1"/>
  <c r="M103" i="63" s="1"/>
  <c r="M104" i="63" s="1"/>
  <c r="B24" i="61"/>
  <c r="C25" i="62"/>
  <c r="G99" i="63"/>
  <c r="I98" i="63"/>
  <c r="C26" i="74" l="1"/>
  <c r="B25" i="73"/>
  <c r="C27" i="74" s="1"/>
  <c r="G100" i="75"/>
  <c r="I99" i="75"/>
  <c r="G100" i="71"/>
  <c r="I99" i="71"/>
  <c r="C26" i="70"/>
  <c r="B25" i="69"/>
  <c r="C27" i="70" s="1"/>
  <c r="G102" i="67"/>
  <c r="I101" i="67"/>
  <c r="M105" i="63"/>
  <c r="M107" i="63" s="1"/>
  <c r="M110" i="63" s="1"/>
  <c r="T73" i="2" s="1"/>
  <c r="G100" i="63"/>
  <c r="I99" i="63"/>
  <c r="C26" i="62"/>
  <c r="B25" i="61"/>
  <c r="C27" i="62" s="1"/>
  <c r="G101" i="75" l="1"/>
  <c r="I100" i="75"/>
  <c r="G101" i="71"/>
  <c r="I100" i="71"/>
  <c r="G103" i="67"/>
  <c r="I102" i="67"/>
  <c r="G101" i="63"/>
  <c r="I100" i="63"/>
  <c r="G102" i="75" l="1"/>
  <c r="I101" i="75"/>
  <c r="G102" i="71"/>
  <c r="I101" i="71"/>
  <c r="G104" i="67"/>
  <c r="I103" i="67"/>
  <c r="G102" i="63"/>
  <c r="I101" i="63"/>
  <c r="G103" i="75" l="1"/>
  <c r="I102" i="75"/>
  <c r="G103" i="71"/>
  <c r="I102" i="71"/>
  <c r="I104" i="67"/>
  <c r="I105" i="67" s="1"/>
  <c r="I107" i="67" s="1"/>
  <c r="I110" i="67" s="1"/>
  <c r="L63" i="2" s="1"/>
  <c r="P63" i="2" s="1"/>
  <c r="G105" i="67"/>
  <c r="G107" i="67" s="1"/>
  <c r="G103" i="63"/>
  <c r="I102" i="63"/>
  <c r="G104" i="75" l="1"/>
  <c r="I103" i="75"/>
  <c r="G104" i="71"/>
  <c r="I103" i="71"/>
  <c r="G104" i="63"/>
  <c r="I103" i="63"/>
  <c r="I104" i="75" l="1"/>
  <c r="I105" i="75" s="1"/>
  <c r="I107" i="75" s="1"/>
  <c r="I110" i="75" s="1"/>
  <c r="L62" i="2" s="1"/>
  <c r="P62" i="2" s="1"/>
  <c r="G105" i="75"/>
  <c r="G107" i="75" s="1"/>
  <c r="I104" i="71"/>
  <c r="I105" i="71" s="1"/>
  <c r="I107" i="71" s="1"/>
  <c r="I110" i="71" s="1"/>
  <c r="L61" i="2" s="1"/>
  <c r="P61" i="2" s="1"/>
  <c r="G105" i="71"/>
  <c r="G107" i="71" s="1"/>
  <c r="I104" i="63"/>
  <c r="I105" i="63" s="1"/>
  <c r="I107" i="63" s="1"/>
  <c r="I110" i="63" s="1"/>
  <c r="L73" i="2" s="1"/>
  <c r="P73" i="2" s="1"/>
  <c r="G105" i="63"/>
  <c r="G107" i="63" s="1"/>
  <c r="D72" i="2" l="1"/>
  <c r="D73" i="2"/>
  <c r="B73" i="2"/>
  <c r="B72" i="2"/>
  <c r="A6" i="60"/>
  <c r="A75" i="60" s="1"/>
  <c r="A3" i="60"/>
  <c r="A72" i="60" s="1"/>
  <c r="A93" i="59"/>
  <c r="A94" i="59" s="1"/>
  <c r="A95" i="59" s="1"/>
  <c r="A96" i="59" s="1"/>
  <c r="A97" i="59" s="1"/>
  <c r="A98" i="59" s="1"/>
  <c r="A99" i="59" s="1"/>
  <c r="A100" i="59" s="1"/>
  <c r="A101" i="59" s="1"/>
  <c r="A102" i="59" s="1"/>
  <c r="A103" i="59" s="1"/>
  <c r="A104" i="59" s="1"/>
  <c r="A105" i="59" s="1"/>
  <c r="A106" i="59" s="1"/>
  <c r="A107" i="59" s="1"/>
  <c r="A108" i="59" s="1"/>
  <c r="A109" i="59" s="1"/>
  <c r="A110" i="59" s="1"/>
  <c r="A111" i="59" s="1"/>
  <c r="A112" i="59" s="1"/>
  <c r="A113" i="59" s="1"/>
  <c r="A114" i="59" s="1"/>
  <c r="A115" i="59" s="1"/>
  <c r="A116" i="59" s="1"/>
  <c r="A117" i="59" s="1"/>
  <c r="A118" i="59" s="1"/>
  <c r="A119" i="59" s="1"/>
  <c r="A120" i="59" s="1"/>
  <c r="A121" i="59" s="1"/>
  <c r="I92" i="59"/>
  <c r="M73" i="59"/>
  <c r="K73" i="59"/>
  <c r="A54" i="59"/>
  <c r="A55" i="59" s="1"/>
  <c r="A56" i="59" s="1"/>
  <c r="A57" i="59" s="1"/>
  <c r="A58" i="59" s="1"/>
  <c r="A59" i="59" s="1"/>
  <c r="A60" i="59" s="1"/>
  <c r="A61" i="59" s="1"/>
  <c r="A62" i="59" s="1"/>
  <c r="A63" i="59" s="1"/>
  <c r="A64" i="59" s="1"/>
  <c r="A65" i="59" s="1"/>
  <c r="A66" i="59" s="1"/>
  <c r="A67" i="59" s="1"/>
  <c r="A68" i="59" s="1"/>
  <c r="A69" i="59" s="1"/>
  <c r="A70" i="59" s="1"/>
  <c r="A71" i="59" s="1"/>
  <c r="A72" i="59" s="1"/>
  <c r="A73" i="59" s="1"/>
  <c r="A74" i="59" s="1"/>
  <c r="A75" i="59" s="1"/>
  <c r="A76" i="59" s="1"/>
  <c r="A77" i="59" s="1"/>
  <c r="A17" i="59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A35" i="59" s="1"/>
  <c r="A36" i="59" s="1"/>
  <c r="A37" i="59" s="1"/>
  <c r="A38" i="59" s="1"/>
  <c r="A16" i="59"/>
  <c r="E11" i="59"/>
  <c r="A8" i="59"/>
  <c r="A6" i="59"/>
  <c r="A83" i="59" s="1"/>
  <c r="A3" i="59"/>
  <c r="A80" i="59" s="1"/>
  <c r="E27" i="58"/>
  <c r="E27" i="59" s="1"/>
  <c r="E26" i="58"/>
  <c r="E26" i="59" s="1"/>
  <c r="E25" i="58"/>
  <c r="E25" i="59" s="1"/>
  <c r="E24" i="58"/>
  <c r="E24" i="59" s="1"/>
  <c r="E23" i="58"/>
  <c r="E23" i="59" s="1"/>
  <c r="E22" i="58"/>
  <c r="E22" i="59" s="1"/>
  <c r="E21" i="58"/>
  <c r="E21" i="59" s="1"/>
  <c r="E20" i="58"/>
  <c r="E20" i="59" s="1"/>
  <c r="E19" i="58"/>
  <c r="E19" i="59" s="1"/>
  <c r="E18" i="58"/>
  <c r="E18" i="59" s="1"/>
  <c r="E17" i="58"/>
  <c r="E17" i="59" s="1"/>
  <c r="G16" i="58"/>
  <c r="G16" i="59" s="1"/>
  <c r="E16" i="58"/>
  <c r="E16" i="59" s="1"/>
  <c r="C16" i="58"/>
  <c r="C16" i="59" s="1"/>
  <c r="A16" i="58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29" i="58" s="1"/>
  <c r="A30" i="58" s="1"/>
  <c r="A31" i="58" s="1"/>
  <c r="A32" i="58" s="1"/>
  <c r="A33" i="58" s="1"/>
  <c r="A34" i="58" s="1"/>
  <c r="A35" i="58" s="1"/>
  <c r="A36" i="58" s="1"/>
  <c r="A37" i="58" s="1"/>
  <c r="A38" i="58" s="1"/>
  <c r="G15" i="58"/>
  <c r="G15" i="59" s="1"/>
  <c r="E15" i="58"/>
  <c r="E15" i="59" s="1"/>
  <c r="C15" i="58"/>
  <c r="C15" i="59" s="1"/>
  <c r="C92" i="59" s="1"/>
  <c r="A6" i="58"/>
  <c r="A3" i="58"/>
  <c r="B15" i="57"/>
  <c r="B16" i="57" s="1"/>
  <c r="E73" i="59"/>
  <c r="G23" i="58" l="1"/>
  <c r="G23" i="59" s="1"/>
  <c r="G17" i="58"/>
  <c r="G17" i="59" s="1"/>
  <c r="G25" i="58"/>
  <c r="G25" i="59" s="1"/>
  <c r="I15" i="59"/>
  <c r="G21" i="58"/>
  <c r="G21" i="59" s="1"/>
  <c r="I21" i="59" s="1"/>
  <c r="G19" i="58"/>
  <c r="G19" i="59" s="1"/>
  <c r="G27" i="58"/>
  <c r="G27" i="59" s="1"/>
  <c r="I27" i="59" s="1"/>
  <c r="C18" i="58"/>
  <c r="B17" i="57"/>
  <c r="C93" i="59"/>
  <c r="C94" i="59" s="1"/>
  <c r="C95" i="59" s="1"/>
  <c r="C96" i="59" s="1"/>
  <c r="C97" i="59" s="1"/>
  <c r="C98" i="59" s="1"/>
  <c r="C99" i="59" s="1"/>
  <c r="C100" i="59" s="1"/>
  <c r="C101" i="59" s="1"/>
  <c r="C102" i="59" s="1"/>
  <c r="C103" i="59" s="1"/>
  <c r="C104" i="59" s="1"/>
  <c r="C53" i="59"/>
  <c r="C54" i="59" s="1"/>
  <c r="C55" i="59" s="1"/>
  <c r="C56" i="59" s="1"/>
  <c r="C57" i="59" s="1"/>
  <c r="C58" i="59" s="1"/>
  <c r="C59" i="59" s="1"/>
  <c r="C60" i="59" s="1"/>
  <c r="C61" i="59" s="1"/>
  <c r="C62" i="59" s="1"/>
  <c r="C63" i="59" s="1"/>
  <c r="C64" i="59" s="1"/>
  <c r="C17" i="59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K67" i="59"/>
  <c r="I16" i="59"/>
  <c r="I17" i="59"/>
  <c r="I25" i="59"/>
  <c r="E28" i="59"/>
  <c r="E30" i="59" s="1"/>
  <c r="I23" i="59"/>
  <c r="I16" i="58"/>
  <c r="C17" i="58"/>
  <c r="E116" i="59"/>
  <c r="G73" i="59"/>
  <c r="G116" i="59" s="1"/>
  <c r="I15" i="58"/>
  <c r="I17" i="58"/>
  <c r="G18" i="58"/>
  <c r="G20" i="58"/>
  <c r="I21" i="58"/>
  <c r="G22" i="58"/>
  <c r="I23" i="58"/>
  <c r="G24" i="58"/>
  <c r="I25" i="58"/>
  <c r="G26" i="58"/>
  <c r="E28" i="58"/>
  <c r="E30" i="58" s="1"/>
  <c r="A44" i="59"/>
  <c r="E88" i="59"/>
  <c r="E49" i="59"/>
  <c r="C73" i="59" s="1"/>
  <c r="C116" i="59" s="1"/>
  <c r="A41" i="59"/>
  <c r="G57" i="59" l="1"/>
  <c r="I57" i="59" s="1"/>
  <c r="E57" i="59"/>
  <c r="E63" i="59"/>
  <c r="I19" i="58"/>
  <c r="I19" i="59"/>
  <c r="I27" i="58"/>
  <c r="E64" i="59"/>
  <c r="E59" i="59"/>
  <c r="G28" i="58"/>
  <c r="G30" i="58" s="1"/>
  <c r="E61" i="59"/>
  <c r="G24" i="59"/>
  <c r="I24" i="58"/>
  <c r="G20" i="59"/>
  <c r="I20" i="58"/>
  <c r="G61" i="59"/>
  <c r="I61" i="59" s="1"/>
  <c r="E60" i="59"/>
  <c r="E55" i="59"/>
  <c r="E54" i="59"/>
  <c r="G63" i="59"/>
  <c r="I63" i="59" s="1"/>
  <c r="E62" i="59"/>
  <c r="G53" i="59"/>
  <c r="B18" i="57"/>
  <c r="C19" i="58"/>
  <c r="G26" i="59"/>
  <c r="I26" i="58"/>
  <c r="G22" i="59"/>
  <c r="I22" i="58"/>
  <c r="G18" i="59"/>
  <c r="I18" i="58"/>
  <c r="E56" i="59"/>
  <c r="E53" i="59"/>
  <c r="G59" i="59"/>
  <c r="I59" i="59" s="1"/>
  <c r="E58" i="59"/>
  <c r="G55" i="59"/>
  <c r="G54" i="59"/>
  <c r="I54" i="59" s="1"/>
  <c r="I28" i="58" l="1"/>
  <c r="I30" i="58" s="1"/>
  <c r="I33" i="58" s="1"/>
  <c r="E65" i="59"/>
  <c r="E93" i="59"/>
  <c r="I55" i="59"/>
  <c r="G56" i="59"/>
  <c r="I56" i="59" s="1"/>
  <c r="I18" i="59"/>
  <c r="G28" i="59"/>
  <c r="G30" i="59" s="1"/>
  <c r="G60" i="59"/>
  <c r="I60" i="59" s="1"/>
  <c r="I22" i="59"/>
  <c r="G64" i="59"/>
  <c r="I64" i="59" s="1"/>
  <c r="I26" i="59"/>
  <c r="C20" i="58"/>
  <c r="B19" i="57"/>
  <c r="G93" i="59"/>
  <c r="I53" i="59"/>
  <c r="I20" i="59"/>
  <c r="G58" i="59"/>
  <c r="I58" i="59" s="1"/>
  <c r="G62" i="59"/>
  <c r="I62" i="59" s="1"/>
  <c r="I24" i="59"/>
  <c r="G65" i="59" l="1"/>
  <c r="B20" i="57"/>
  <c r="C21" i="58"/>
  <c r="E94" i="59"/>
  <c r="E95" i="59" s="1"/>
  <c r="E96" i="59" s="1"/>
  <c r="E97" i="59" s="1"/>
  <c r="E98" i="59" s="1"/>
  <c r="E99" i="59" s="1"/>
  <c r="E100" i="59" s="1"/>
  <c r="E101" i="59" s="1"/>
  <c r="E102" i="59" s="1"/>
  <c r="E103" i="59" s="1"/>
  <c r="E104" i="59" s="1"/>
  <c r="I65" i="59"/>
  <c r="I67" i="59" s="1"/>
  <c r="G94" i="59"/>
  <c r="I93" i="59"/>
  <c r="I28" i="59"/>
  <c r="I30" i="59" s="1"/>
  <c r="I33" i="59" s="1"/>
  <c r="L29" i="2" s="1"/>
  <c r="P29" i="2" s="1"/>
  <c r="M67" i="59" l="1"/>
  <c r="M53" i="59" s="1"/>
  <c r="M93" i="59" s="1"/>
  <c r="R72" i="2"/>
  <c r="E105" i="59"/>
  <c r="E107" i="59" s="1"/>
  <c r="C22" i="58"/>
  <c r="B21" i="57"/>
  <c r="G95" i="59"/>
  <c r="I94" i="59"/>
  <c r="M54" i="59" l="1"/>
  <c r="M55" i="59" s="1"/>
  <c r="M56" i="59" s="1"/>
  <c r="M57" i="59" s="1"/>
  <c r="M58" i="59" s="1"/>
  <c r="M59" i="59" s="1"/>
  <c r="M60" i="59" s="1"/>
  <c r="M61" i="59" s="1"/>
  <c r="B22" i="57"/>
  <c r="C23" i="58"/>
  <c r="M94" i="59"/>
  <c r="M95" i="59" s="1"/>
  <c r="M96" i="59" s="1"/>
  <c r="M97" i="59" s="1"/>
  <c r="M98" i="59" s="1"/>
  <c r="M99" i="59" s="1"/>
  <c r="G96" i="59"/>
  <c r="I95" i="59"/>
  <c r="M100" i="59" l="1"/>
  <c r="M62" i="59"/>
  <c r="M63" i="59" s="1"/>
  <c r="M64" i="59" s="1"/>
  <c r="M65" i="59"/>
  <c r="M101" i="59"/>
  <c r="M102" i="59" s="1"/>
  <c r="M103" i="59" s="1"/>
  <c r="M104" i="59" s="1"/>
  <c r="G97" i="59"/>
  <c r="I96" i="59"/>
  <c r="C24" i="58"/>
  <c r="B23" i="57"/>
  <c r="M105" i="59" l="1"/>
  <c r="M107" i="59" s="1"/>
  <c r="M110" i="59" s="1"/>
  <c r="T72" i="2" s="1"/>
  <c r="B24" i="57"/>
  <c r="C25" i="58"/>
  <c r="G98" i="59"/>
  <c r="I97" i="59"/>
  <c r="G99" i="59" l="1"/>
  <c r="I98" i="59"/>
  <c r="C26" i="58"/>
  <c r="B25" i="57"/>
  <c r="C27" i="58" s="1"/>
  <c r="G100" i="59" l="1"/>
  <c r="I99" i="59"/>
  <c r="G101" i="59" l="1"/>
  <c r="I100" i="59"/>
  <c r="G102" i="59" l="1"/>
  <c r="I101" i="59"/>
  <c r="G103" i="59" l="1"/>
  <c r="I102" i="59"/>
  <c r="G104" i="59" l="1"/>
  <c r="I103" i="59"/>
  <c r="I104" i="59" l="1"/>
  <c r="I105" i="59" s="1"/>
  <c r="I107" i="59" s="1"/>
  <c r="I110" i="59" s="1"/>
  <c r="L72" i="2" s="1"/>
  <c r="P72" i="2" s="1"/>
  <c r="G105" i="59"/>
  <c r="G107" i="59" s="1"/>
  <c r="M73" i="55" l="1"/>
  <c r="K73" i="55"/>
  <c r="M73" i="51"/>
  <c r="K73" i="51"/>
  <c r="M73" i="47"/>
  <c r="K73" i="47"/>
  <c r="M73" i="43"/>
  <c r="K73" i="43"/>
  <c r="M73" i="39"/>
  <c r="K73" i="39"/>
  <c r="M73" i="34"/>
  <c r="K73" i="34"/>
  <c r="M73" i="30"/>
  <c r="K73" i="30"/>
  <c r="M73" i="26"/>
  <c r="K73" i="26"/>
  <c r="M73" i="22"/>
  <c r="K73" i="22"/>
  <c r="M73" i="18"/>
  <c r="K73" i="18"/>
  <c r="M73" i="14"/>
  <c r="K73" i="14"/>
  <c r="M73" i="9"/>
  <c r="K73" i="9"/>
  <c r="M73" i="5"/>
  <c r="K73" i="5"/>
  <c r="A6" i="56" l="1"/>
  <c r="A75" i="56" s="1"/>
  <c r="A3" i="56"/>
  <c r="A72" i="56" s="1"/>
  <c r="A93" i="55"/>
  <c r="A94" i="55" s="1"/>
  <c r="A95" i="55" s="1"/>
  <c r="A96" i="55" s="1"/>
  <c r="A97" i="55" s="1"/>
  <c r="A98" i="55" s="1"/>
  <c r="A99" i="55" s="1"/>
  <c r="A100" i="55" s="1"/>
  <c r="A101" i="55" s="1"/>
  <c r="A102" i="55" s="1"/>
  <c r="A103" i="55" s="1"/>
  <c r="A104" i="55" s="1"/>
  <c r="A105" i="55" s="1"/>
  <c r="A106" i="55" s="1"/>
  <c r="A107" i="55" s="1"/>
  <c r="A108" i="55" s="1"/>
  <c r="A109" i="55" s="1"/>
  <c r="A110" i="55" s="1"/>
  <c r="A111" i="55" s="1"/>
  <c r="A112" i="55" s="1"/>
  <c r="A113" i="55" s="1"/>
  <c r="A114" i="55" s="1"/>
  <c r="A115" i="55" s="1"/>
  <c r="A116" i="55" s="1"/>
  <c r="A117" i="55" s="1"/>
  <c r="A118" i="55" s="1"/>
  <c r="A119" i="55" s="1"/>
  <c r="A120" i="55" s="1"/>
  <c r="A121" i="55" s="1"/>
  <c r="I92" i="55"/>
  <c r="A54" i="55"/>
  <c r="A55" i="55" s="1"/>
  <c r="A56" i="55" s="1"/>
  <c r="A57" i="55" s="1"/>
  <c r="A58" i="55" s="1"/>
  <c r="A59" i="55" s="1"/>
  <c r="A60" i="55" s="1"/>
  <c r="A61" i="55" s="1"/>
  <c r="A62" i="55" s="1"/>
  <c r="A63" i="55" s="1"/>
  <c r="A64" i="55" s="1"/>
  <c r="A65" i="55" s="1"/>
  <c r="A66" i="55" s="1"/>
  <c r="A67" i="55" s="1"/>
  <c r="A68" i="55" s="1"/>
  <c r="A69" i="55" s="1"/>
  <c r="A70" i="55" s="1"/>
  <c r="A71" i="55" s="1"/>
  <c r="A72" i="55" s="1"/>
  <c r="A73" i="55" s="1"/>
  <c r="A74" i="55" s="1"/>
  <c r="A75" i="55" s="1"/>
  <c r="A76" i="55" s="1"/>
  <c r="A77" i="55" s="1"/>
  <c r="A17" i="55"/>
  <c r="A18" i="55" s="1"/>
  <c r="A19" i="55" s="1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37" i="55" s="1"/>
  <c r="A38" i="55" s="1"/>
  <c r="A16" i="55"/>
  <c r="E11" i="55"/>
  <c r="E88" i="55" s="1"/>
  <c r="A8" i="55"/>
  <c r="A6" i="55"/>
  <c r="A83" i="55" s="1"/>
  <c r="A3" i="55"/>
  <c r="A80" i="55" s="1"/>
  <c r="E27" i="54"/>
  <c r="E27" i="55" s="1"/>
  <c r="E26" i="54"/>
  <c r="E26" i="55" s="1"/>
  <c r="E25" i="54"/>
  <c r="E25" i="55" s="1"/>
  <c r="E24" i="54"/>
  <c r="E24" i="55" s="1"/>
  <c r="E23" i="54"/>
  <c r="E23" i="55" s="1"/>
  <c r="E22" i="54"/>
  <c r="E22" i="55" s="1"/>
  <c r="E21" i="54"/>
  <c r="E21" i="55" s="1"/>
  <c r="E20" i="54"/>
  <c r="E20" i="55" s="1"/>
  <c r="E19" i="54"/>
  <c r="E19" i="55" s="1"/>
  <c r="E18" i="54"/>
  <c r="E18" i="55" s="1"/>
  <c r="E17" i="54"/>
  <c r="E17" i="55" s="1"/>
  <c r="G16" i="54"/>
  <c r="G26" i="54" s="1"/>
  <c r="E16" i="54"/>
  <c r="E16" i="55" s="1"/>
  <c r="C16" i="54"/>
  <c r="C16" i="55" s="1"/>
  <c r="A16" i="54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G15" i="54"/>
  <c r="G15" i="55" s="1"/>
  <c r="E15" i="54"/>
  <c r="E15" i="55" s="1"/>
  <c r="C15" i="54"/>
  <c r="C15" i="55" s="1"/>
  <c r="C92" i="55" s="1"/>
  <c r="A6" i="54"/>
  <c r="A3" i="54"/>
  <c r="B15" i="53"/>
  <c r="B16" i="53" s="1"/>
  <c r="E73" i="55"/>
  <c r="I15" i="55" l="1"/>
  <c r="G19" i="54"/>
  <c r="G19" i="55" s="1"/>
  <c r="I19" i="55" s="1"/>
  <c r="G17" i="54"/>
  <c r="G17" i="55" s="1"/>
  <c r="G21" i="54"/>
  <c r="G21" i="55" s="1"/>
  <c r="I21" i="55" s="1"/>
  <c r="C18" i="54"/>
  <c r="B17" i="53"/>
  <c r="C93" i="55"/>
  <c r="C94" i="55" s="1"/>
  <c r="C95" i="55" s="1"/>
  <c r="C96" i="55" s="1"/>
  <c r="C97" i="55" s="1"/>
  <c r="C98" i="55" s="1"/>
  <c r="C99" i="55" s="1"/>
  <c r="C100" i="55" s="1"/>
  <c r="C101" i="55" s="1"/>
  <c r="C102" i="55" s="1"/>
  <c r="C103" i="55" s="1"/>
  <c r="C104" i="55" s="1"/>
  <c r="C53" i="55"/>
  <c r="C54" i="55" s="1"/>
  <c r="C55" i="55" s="1"/>
  <c r="C56" i="55" s="1"/>
  <c r="C57" i="55" s="1"/>
  <c r="C58" i="55" s="1"/>
  <c r="C59" i="55" s="1"/>
  <c r="C60" i="55" s="1"/>
  <c r="C61" i="55" s="1"/>
  <c r="C62" i="55" s="1"/>
  <c r="C63" i="55" s="1"/>
  <c r="C64" i="55" s="1"/>
  <c r="C17" i="55"/>
  <c r="C18" i="55" s="1"/>
  <c r="C19" i="55" s="1"/>
  <c r="C20" i="55" s="1"/>
  <c r="C21" i="55" s="1"/>
  <c r="C22" i="55" s="1"/>
  <c r="C23" i="55" s="1"/>
  <c r="C24" i="55" s="1"/>
  <c r="C25" i="55" s="1"/>
  <c r="C26" i="55" s="1"/>
  <c r="C27" i="55" s="1"/>
  <c r="E28" i="55"/>
  <c r="E30" i="55" s="1"/>
  <c r="G26" i="55"/>
  <c r="I26" i="54"/>
  <c r="I17" i="55"/>
  <c r="I16" i="54"/>
  <c r="C17" i="54"/>
  <c r="G23" i="54"/>
  <c r="G25" i="54"/>
  <c r="G27" i="54"/>
  <c r="G16" i="55"/>
  <c r="K67" i="55" s="1"/>
  <c r="E49" i="55"/>
  <c r="C73" i="55" s="1"/>
  <c r="C116" i="55" s="1"/>
  <c r="E116" i="55"/>
  <c r="G73" i="55"/>
  <c r="G116" i="55" s="1"/>
  <c r="I15" i="54"/>
  <c r="G18" i="54"/>
  <c r="I19" i="54"/>
  <c r="G20" i="54"/>
  <c r="G22" i="54"/>
  <c r="G24" i="54"/>
  <c r="E28" i="54"/>
  <c r="E30" i="54" s="1"/>
  <c r="A41" i="55"/>
  <c r="A44" i="55"/>
  <c r="A6" i="52"/>
  <c r="A74" i="52" s="1"/>
  <c r="A3" i="52"/>
  <c r="A71" i="52" s="1"/>
  <c r="A93" i="51"/>
  <c r="A94" i="51" s="1"/>
  <c r="A95" i="51" s="1"/>
  <c r="A96" i="51" s="1"/>
  <c r="A97" i="51" s="1"/>
  <c r="A98" i="51" s="1"/>
  <c r="A99" i="51" s="1"/>
  <c r="A100" i="51" s="1"/>
  <c r="A101" i="51" s="1"/>
  <c r="A102" i="51" s="1"/>
  <c r="A103" i="51" s="1"/>
  <c r="A104" i="51" s="1"/>
  <c r="A105" i="51" s="1"/>
  <c r="A106" i="51" s="1"/>
  <c r="A107" i="51" s="1"/>
  <c r="A108" i="51" s="1"/>
  <c r="A109" i="51" s="1"/>
  <c r="A110" i="51" s="1"/>
  <c r="A111" i="51" s="1"/>
  <c r="A112" i="51" s="1"/>
  <c r="A113" i="51" s="1"/>
  <c r="A114" i="51" s="1"/>
  <c r="A115" i="51" s="1"/>
  <c r="A116" i="51" s="1"/>
  <c r="A117" i="51" s="1"/>
  <c r="A118" i="51" s="1"/>
  <c r="A119" i="51" s="1"/>
  <c r="A120" i="51" s="1"/>
  <c r="A121" i="51" s="1"/>
  <c r="I92" i="51"/>
  <c r="A54" i="51"/>
  <c r="A55" i="51" s="1"/>
  <c r="A56" i="51" s="1"/>
  <c r="A57" i="51" s="1"/>
  <c r="A58" i="51" s="1"/>
  <c r="A59" i="51" s="1"/>
  <c r="A60" i="51" s="1"/>
  <c r="A61" i="51" s="1"/>
  <c r="A62" i="51" s="1"/>
  <c r="A63" i="51" s="1"/>
  <c r="A64" i="51" s="1"/>
  <c r="A65" i="51" s="1"/>
  <c r="A66" i="51" s="1"/>
  <c r="A67" i="51" s="1"/>
  <c r="A68" i="51" s="1"/>
  <c r="A69" i="51" s="1"/>
  <c r="A70" i="51" s="1"/>
  <c r="A71" i="51" s="1"/>
  <c r="A72" i="51" s="1"/>
  <c r="A73" i="51" s="1"/>
  <c r="A74" i="51" s="1"/>
  <c r="A75" i="51" s="1"/>
  <c r="A76" i="51" s="1"/>
  <c r="A77" i="51" s="1"/>
  <c r="A16" i="5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E11" i="51"/>
  <c r="E88" i="51" s="1"/>
  <c r="A8" i="51"/>
  <c r="A6" i="51"/>
  <c r="A83" i="51" s="1"/>
  <c r="A3" i="51"/>
  <c r="A80" i="51" s="1"/>
  <c r="E27" i="50"/>
  <c r="E27" i="51" s="1"/>
  <c r="E26" i="50"/>
  <c r="E26" i="51" s="1"/>
  <c r="E25" i="50"/>
  <c r="E25" i="51" s="1"/>
  <c r="E24" i="50"/>
  <c r="E24" i="51" s="1"/>
  <c r="E23" i="50"/>
  <c r="E23" i="51" s="1"/>
  <c r="E22" i="50"/>
  <c r="E22" i="51" s="1"/>
  <c r="E21" i="50"/>
  <c r="E21" i="51" s="1"/>
  <c r="E20" i="50"/>
  <c r="E20" i="51" s="1"/>
  <c r="E19" i="50"/>
  <c r="E19" i="51" s="1"/>
  <c r="E18" i="50"/>
  <c r="E18" i="51" s="1"/>
  <c r="E17" i="50"/>
  <c r="E17" i="51" s="1"/>
  <c r="G16" i="50"/>
  <c r="G16" i="51" s="1"/>
  <c r="K67" i="51" s="1"/>
  <c r="E16" i="50"/>
  <c r="E16" i="51" s="1"/>
  <c r="C16" i="50"/>
  <c r="C16" i="51" s="1"/>
  <c r="A16" i="50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A28" i="50" s="1"/>
  <c r="A29" i="50" s="1"/>
  <c r="A30" i="50" s="1"/>
  <c r="A31" i="50" s="1"/>
  <c r="A32" i="50" s="1"/>
  <c r="A33" i="50" s="1"/>
  <c r="A34" i="50" s="1"/>
  <c r="A35" i="50" s="1"/>
  <c r="A36" i="50" s="1"/>
  <c r="A37" i="50" s="1"/>
  <c r="A38" i="50" s="1"/>
  <c r="G15" i="50"/>
  <c r="G15" i="51" s="1"/>
  <c r="E15" i="50"/>
  <c r="E15" i="51" s="1"/>
  <c r="C15" i="50"/>
  <c r="C15" i="51" s="1"/>
  <c r="C92" i="51" s="1"/>
  <c r="A6" i="50"/>
  <c r="A3" i="50"/>
  <c r="B15" i="49"/>
  <c r="C17" i="50" s="1"/>
  <c r="E73" i="51"/>
  <c r="A74" i="48"/>
  <c r="A71" i="48"/>
  <c r="A93" i="47"/>
  <c r="A94" i="47" s="1"/>
  <c r="A95" i="47" s="1"/>
  <c r="A96" i="47" s="1"/>
  <c r="A97" i="47" s="1"/>
  <c r="A98" i="47" s="1"/>
  <c r="A99" i="47" s="1"/>
  <c r="A100" i="47" s="1"/>
  <c r="A101" i="47" s="1"/>
  <c r="A102" i="47" s="1"/>
  <c r="A103" i="47" s="1"/>
  <c r="A104" i="47" s="1"/>
  <c r="A105" i="47" s="1"/>
  <c r="A106" i="47" s="1"/>
  <c r="A107" i="47" s="1"/>
  <c r="A108" i="47" s="1"/>
  <c r="A109" i="47" s="1"/>
  <c r="A110" i="47" s="1"/>
  <c r="A111" i="47" s="1"/>
  <c r="A112" i="47" s="1"/>
  <c r="A113" i="47" s="1"/>
  <c r="A114" i="47" s="1"/>
  <c r="A115" i="47" s="1"/>
  <c r="A116" i="47" s="1"/>
  <c r="A117" i="47" s="1"/>
  <c r="A118" i="47" s="1"/>
  <c r="A119" i="47" s="1"/>
  <c r="A120" i="47" s="1"/>
  <c r="A121" i="47" s="1"/>
  <c r="I92" i="47"/>
  <c r="A54" i="47"/>
  <c r="A55" i="47" s="1"/>
  <c r="A56" i="47" s="1"/>
  <c r="A57" i="47" s="1"/>
  <c r="A58" i="47" s="1"/>
  <c r="A59" i="47" s="1"/>
  <c r="A60" i="47" s="1"/>
  <c r="A61" i="47" s="1"/>
  <c r="A62" i="47" s="1"/>
  <c r="A63" i="47" s="1"/>
  <c r="A64" i="47" s="1"/>
  <c r="A65" i="47" s="1"/>
  <c r="A66" i="47" s="1"/>
  <c r="A67" i="47" s="1"/>
  <c r="A68" i="47" s="1"/>
  <c r="A69" i="47" s="1"/>
  <c r="A70" i="47" s="1"/>
  <c r="A71" i="47" s="1"/>
  <c r="A72" i="47" s="1"/>
  <c r="A73" i="47" s="1"/>
  <c r="A74" i="47" s="1"/>
  <c r="A75" i="47" s="1"/>
  <c r="A76" i="47" s="1"/>
  <c r="A77" i="47" s="1"/>
  <c r="E26" i="47"/>
  <c r="A18" i="47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A16" i="47"/>
  <c r="A17" i="47" s="1"/>
  <c r="E11" i="47"/>
  <c r="E88" i="47" s="1"/>
  <c r="A8" i="47"/>
  <c r="A6" i="47"/>
  <c r="A83" i="47" s="1"/>
  <c r="A3" i="47"/>
  <c r="A80" i="47" s="1"/>
  <c r="E27" i="46"/>
  <c r="E27" i="47" s="1"/>
  <c r="E26" i="46"/>
  <c r="E25" i="46"/>
  <c r="E25" i="47" s="1"/>
  <c r="E24" i="46"/>
  <c r="E24" i="47" s="1"/>
  <c r="E23" i="46"/>
  <c r="E23" i="47" s="1"/>
  <c r="E22" i="46"/>
  <c r="E22" i="47" s="1"/>
  <c r="E21" i="46"/>
  <c r="E21" i="47" s="1"/>
  <c r="E20" i="46"/>
  <c r="E20" i="47" s="1"/>
  <c r="E19" i="46"/>
  <c r="E19" i="47" s="1"/>
  <c r="E18" i="46"/>
  <c r="E18" i="47" s="1"/>
  <c r="E17" i="46"/>
  <c r="E17" i="47" s="1"/>
  <c r="G16" i="46"/>
  <c r="G24" i="46" s="1"/>
  <c r="E16" i="46"/>
  <c r="E16" i="47" s="1"/>
  <c r="C16" i="46"/>
  <c r="C16" i="47" s="1"/>
  <c r="C93" i="47" s="1"/>
  <c r="C94" i="47" s="1"/>
  <c r="C95" i="47" s="1"/>
  <c r="C96" i="47" s="1"/>
  <c r="C97" i="47" s="1"/>
  <c r="C98" i="47" s="1"/>
  <c r="C99" i="47" s="1"/>
  <c r="C100" i="47" s="1"/>
  <c r="C101" i="47" s="1"/>
  <c r="C102" i="47" s="1"/>
  <c r="C103" i="47" s="1"/>
  <c r="C104" i="47" s="1"/>
  <c r="A16" i="46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G15" i="46"/>
  <c r="G15" i="47" s="1"/>
  <c r="E15" i="46"/>
  <c r="E15" i="47" s="1"/>
  <c r="C15" i="46"/>
  <c r="C15" i="47" s="1"/>
  <c r="C92" i="47" s="1"/>
  <c r="A6" i="46"/>
  <c r="A3" i="46"/>
  <c r="B15" i="45"/>
  <c r="C17" i="46" s="1"/>
  <c r="E73" i="47"/>
  <c r="A6" i="44"/>
  <c r="A74" i="44" s="1"/>
  <c r="A3" i="44"/>
  <c r="A71" i="44" s="1"/>
  <c r="A93" i="43"/>
  <c r="A94" i="43" s="1"/>
  <c r="A95" i="43" s="1"/>
  <c r="A96" i="43" s="1"/>
  <c r="A97" i="43" s="1"/>
  <c r="A98" i="43" s="1"/>
  <c r="A99" i="43" s="1"/>
  <c r="A100" i="43" s="1"/>
  <c r="A101" i="43" s="1"/>
  <c r="A102" i="43" s="1"/>
  <c r="A103" i="43" s="1"/>
  <c r="A104" i="43" s="1"/>
  <c r="A105" i="43" s="1"/>
  <c r="A106" i="43" s="1"/>
  <c r="A107" i="43" s="1"/>
  <c r="A108" i="43" s="1"/>
  <c r="A109" i="43" s="1"/>
  <c r="A110" i="43" s="1"/>
  <c r="A111" i="43" s="1"/>
  <c r="A112" i="43" s="1"/>
  <c r="A113" i="43" s="1"/>
  <c r="A114" i="43" s="1"/>
  <c r="A115" i="43" s="1"/>
  <c r="A116" i="43" s="1"/>
  <c r="A117" i="43" s="1"/>
  <c r="A118" i="43" s="1"/>
  <c r="A119" i="43" s="1"/>
  <c r="A120" i="43" s="1"/>
  <c r="A121" i="43" s="1"/>
  <c r="I92" i="43"/>
  <c r="A56" i="43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A73" i="43" s="1"/>
  <c r="A74" i="43" s="1"/>
  <c r="A75" i="43" s="1"/>
  <c r="A76" i="43" s="1"/>
  <c r="A77" i="43" s="1"/>
  <c r="A54" i="43"/>
  <c r="A55" i="43" s="1"/>
  <c r="E27" i="43"/>
  <c r="E19" i="43"/>
  <c r="A17" i="43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16" i="43"/>
  <c r="E11" i="43"/>
  <c r="E88" i="43" s="1"/>
  <c r="A8" i="43"/>
  <c r="A6" i="43"/>
  <c r="A83" i="43" s="1"/>
  <c r="A3" i="43"/>
  <c r="A80" i="43" s="1"/>
  <c r="E27" i="42"/>
  <c r="E26" i="42"/>
  <c r="E26" i="43" s="1"/>
  <c r="E25" i="42"/>
  <c r="E25" i="43" s="1"/>
  <c r="E24" i="42"/>
  <c r="E24" i="43" s="1"/>
  <c r="E23" i="42"/>
  <c r="E23" i="43" s="1"/>
  <c r="E22" i="42"/>
  <c r="E22" i="43" s="1"/>
  <c r="E21" i="42"/>
  <c r="E21" i="43" s="1"/>
  <c r="E20" i="42"/>
  <c r="E20" i="43" s="1"/>
  <c r="E19" i="42"/>
  <c r="E18" i="42"/>
  <c r="E18" i="43" s="1"/>
  <c r="E17" i="42"/>
  <c r="E17" i="43" s="1"/>
  <c r="G16" i="42"/>
  <c r="G26" i="42" s="1"/>
  <c r="E16" i="42"/>
  <c r="E16" i="43" s="1"/>
  <c r="C16" i="42"/>
  <c r="C16" i="43" s="1"/>
  <c r="C93" i="43" s="1"/>
  <c r="C94" i="43" s="1"/>
  <c r="C95" i="43" s="1"/>
  <c r="C96" i="43" s="1"/>
  <c r="C97" i="43" s="1"/>
  <c r="C98" i="43" s="1"/>
  <c r="C99" i="43" s="1"/>
  <c r="C100" i="43" s="1"/>
  <c r="C101" i="43" s="1"/>
  <c r="C102" i="43" s="1"/>
  <c r="C103" i="43" s="1"/>
  <c r="C104" i="43" s="1"/>
  <c r="A16" i="42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G15" i="42"/>
  <c r="G15" i="43" s="1"/>
  <c r="E15" i="42"/>
  <c r="E15" i="43" s="1"/>
  <c r="C15" i="42"/>
  <c r="C15" i="43" s="1"/>
  <c r="C92" i="43" s="1"/>
  <c r="A6" i="42"/>
  <c r="A3" i="42"/>
  <c r="B15" i="41"/>
  <c r="B16" i="41" s="1"/>
  <c r="E73" i="43"/>
  <c r="A6" i="40"/>
  <c r="A74" i="40" s="1"/>
  <c r="A3" i="40"/>
  <c r="A71" i="40" s="1"/>
  <c r="A93" i="39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I92" i="39"/>
  <c r="A54" i="39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E27" i="39"/>
  <c r="E19" i="39"/>
  <c r="A16" i="39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E11" i="39"/>
  <c r="E88" i="39" s="1"/>
  <c r="A8" i="39"/>
  <c r="A6" i="39"/>
  <c r="A83" i="39" s="1"/>
  <c r="A3" i="39"/>
  <c r="A80" i="39" s="1"/>
  <c r="E27" i="38"/>
  <c r="E26" i="38"/>
  <c r="E26" i="39" s="1"/>
  <c r="E25" i="38"/>
  <c r="E25" i="39" s="1"/>
  <c r="E24" i="38"/>
  <c r="E24" i="39" s="1"/>
  <c r="E23" i="38"/>
  <c r="E23" i="39" s="1"/>
  <c r="E22" i="38"/>
  <c r="E22" i="39" s="1"/>
  <c r="E21" i="38"/>
  <c r="E21" i="39" s="1"/>
  <c r="E20" i="38"/>
  <c r="E20" i="39" s="1"/>
  <c r="E19" i="38"/>
  <c r="E18" i="38"/>
  <c r="E18" i="39" s="1"/>
  <c r="E17" i="38"/>
  <c r="E17" i="39" s="1"/>
  <c r="G16" i="38"/>
  <c r="G26" i="38" s="1"/>
  <c r="E16" i="38"/>
  <c r="C16" i="38"/>
  <c r="C16" i="39" s="1"/>
  <c r="C53" i="39" s="1"/>
  <c r="C54" i="39" s="1"/>
  <c r="C55" i="39" s="1"/>
  <c r="C56" i="39" s="1"/>
  <c r="C57" i="39" s="1"/>
  <c r="C58" i="39" s="1"/>
  <c r="C59" i="39" s="1"/>
  <c r="C60" i="39" s="1"/>
  <c r="C61" i="39" s="1"/>
  <c r="C62" i="39" s="1"/>
  <c r="C63" i="39" s="1"/>
  <c r="C64" i="39" s="1"/>
  <c r="A16" i="38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G15" i="38"/>
  <c r="E15" i="38"/>
  <c r="E15" i="39" s="1"/>
  <c r="C15" i="38"/>
  <c r="C15" i="39" s="1"/>
  <c r="C92" i="39" s="1"/>
  <c r="A6" i="38"/>
  <c r="A3" i="38"/>
  <c r="B15" i="37"/>
  <c r="B16" i="37" s="1"/>
  <c r="C18" i="38" s="1"/>
  <c r="E73" i="39"/>
  <c r="E116" i="39" s="1"/>
  <c r="B16" i="49" l="1"/>
  <c r="I21" i="54"/>
  <c r="I17" i="54"/>
  <c r="G19" i="38"/>
  <c r="I19" i="38" s="1"/>
  <c r="G27" i="38"/>
  <c r="G27" i="39" s="1"/>
  <c r="I27" i="39" s="1"/>
  <c r="G19" i="42"/>
  <c r="G19" i="43" s="1"/>
  <c r="G27" i="42"/>
  <c r="G27" i="43" s="1"/>
  <c r="I27" i="43" s="1"/>
  <c r="G19" i="46"/>
  <c r="G19" i="47" s="1"/>
  <c r="I19" i="47" s="1"/>
  <c r="G26" i="46"/>
  <c r="I26" i="46" s="1"/>
  <c r="G23" i="38"/>
  <c r="G23" i="42"/>
  <c r="G23" i="43" s="1"/>
  <c r="I23" i="43" s="1"/>
  <c r="A44" i="47"/>
  <c r="E61" i="55"/>
  <c r="G59" i="55"/>
  <c r="E64" i="55"/>
  <c r="G17" i="38"/>
  <c r="I17" i="38" s="1"/>
  <c r="G21" i="38"/>
  <c r="I21" i="38" s="1"/>
  <c r="G25" i="38"/>
  <c r="G25" i="39" s="1"/>
  <c r="G16" i="39"/>
  <c r="K67" i="39" s="1"/>
  <c r="G73" i="39"/>
  <c r="G116" i="39" s="1"/>
  <c r="I15" i="43"/>
  <c r="G17" i="42"/>
  <c r="G17" i="43" s="1"/>
  <c r="I17" i="43" s="1"/>
  <c r="G21" i="42"/>
  <c r="G21" i="43" s="1"/>
  <c r="I21" i="43" s="1"/>
  <c r="G25" i="42"/>
  <c r="G25" i="43" s="1"/>
  <c r="G16" i="43"/>
  <c r="K67" i="43" s="1"/>
  <c r="I15" i="47"/>
  <c r="G17" i="46"/>
  <c r="G17" i="47" s="1"/>
  <c r="I17" i="47" s="1"/>
  <c r="G21" i="46"/>
  <c r="G21" i="47" s="1"/>
  <c r="I21" i="47" s="1"/>
  <c r="C17" i="47"/>
  <c r="C18" i="47" s="1"/>
  <c r="C19" i="47" s="1"/>
  <c r="C20" i="47" s="1"/>
  <c r="C21" i="47" s="1"/>
  <c r="C22" i="47" s="1"/>
  <c r="C23" i="47" s="1"/>
  <c r="C24" i="47" s="1"/>
  <c r="C25" i="47" s="1"/>
  <c r="C26" i="47" s="1"/>
  <c r="C27" i="47" s="1"/>
  <c r="A41" i="47"/>
  <c r="G28" i="54"/>
  <c r="G30" i="54" s="1"/>
  <c r="E60" i="55"/>
  <c r="E56" i="55"/>
  <c r="E53" i="55"/>
  <c r="G22" i="55"/>
  <c r="I22" i="54"/>
  <c r="G20" i="55"/>
  <c r="I20" i="54"/>
  <c r="G27" i="55"/>
  <c r="I27" i="55" s="1"/>
  <c r="I27" i="54"/>
  <c r="G23" i="55"/>
  <c r="I23" i="54"/>
  <c r="G24" i="55"/>
  <c r="I24" i="54"/>
  <c r="G25" i="55"/>
  <c r="I25" i="54"/>
  <c r="E63" i="55"/>
  <c r="E58" i="55"/>
  <c r="G55" i="55"/>
  <c r="G64" i="55"/>
  <c r="I26" i="55"/>
  <c r="E62" i="55"/>
  <c r="E59" i="55"/>
  <c r="G57" i="55"/>
  <c r="E55" i="55"/>
  <c r="E54" i="55"/>
  <c r="E65" i="55" s="1"/>
  <c r="E57" i="55"/>
  <c r="B18" i="53"/>
  <c r="C19" i="54"/>
  <c r="G18" i="55"/>
  <c r="I18" i="54"/>
  <c r="G53" i="55"/>
  <c r="I16" i="55"/>
  <c r="G54" i="55"/>
  <c r="I59" i="55"/>
  <c r="E93" i="55"/>
  <c r="I15" i="51"/>
  <c r="C93" i="51"/>
  <c r="C94" i="51" s="1"/>
  <c r="C95" i="51" s="1"/>
  <c r="C96" i="51" s="1"/>
  <c r="C97" i="51" s="1"/>
  <c r="C98" i="51" s="1"/>
  <c r="C99" i="51" s="1"/>
  <c r="C100" i="51" s="1"/>
  <c r="C101" i="51" s="1"/>
  <c r="C102" i="51" s="1"/>
  <c r="C103" i="51" s="1"/>
  <c r="C104" i="51" s="1"/>
  <c r="C53" i="51"/>
  <c r="C54" i="51" s="1"/>
  <c r="C55" i="51" s="1"/>
  <c r="C56" i="51" s="1"/>
  <c r="C57" i="51" s="1"/>
  <c r="C58" i="51" s="1"/>
  <c r="C59" i="51" s="1"/>
  <c r="C60" i="51" s="1"/>
  <c r="C61" i="51" s="1"/>
  <c r="C62" i="51" s="1"/>
  <c r="C63" i="51" s="1"/>
  <c r="C64" i="51" s="1"/>
  <c r="C17" i="51"/>
  <c r="C18" i="51" s="1"/>
  <c r="C19" i="51" s="1"/>
  <c r="C20" i="51" s="1"/>
  <c r="C21" i="51" s="1"/>
  <c r="C22" i="51" s="1"/>
  <c r="C23" i="51" s="1"/>
  <c r="C24" i="51" s="1"/>
  <c r="C25" i="51" s="1"/>
  <c r="C26" i="51" s="1"/>
  <c r="C27" i="51" s="1"/>
  <c r="I16" i="51"/>
  <c r="E116" i="51"/>
  <c r="G73" i="51"/>
  <c r="G116" i="51" s="1"/>
  <c r="B17" i="49"/>
  <c r="C18" i="50"/>
  <c r="E28" i="51"/>
  <c r="E30" i="51" s="1"/>
  <c r="E62" i="51"/>
  <c r="I15" i="50"/>
  <c r="G18" i="50"/>
  <c r="G20" i="50"/>
  <c r="G22" i="50"/>
  <c r="G24" i="50"/>
  <c r="G26" i="50"/>
  <c r="E28" i="50"/>
  <c r="E30" i="50" s="1"/>
  <c r="A41" i="51"/>
  <c r="A44" i="51"/>
  <c r="I16" i="50"/>
  <c r="G17" i="50"/>
  <c r="G19" i="50"/>
  <c r="G21" i="50"/>
  <c r="G23" i="50"/>
  <c r="G25" i="50"/>
  <c r="G27" i="50"/>
  <c r="E49" i="51"/>
  <c r="C73" i="51" s="1"/>
  <c r="C116" i="51" s="1"/>
  <c r="E28" i="47"/>
  <c r="E30" i="47" s="1"/>
  <c r="E116" i="47"/>
  <c r="G73" i="47"/>
  <c r="G116" i="47" s="1"/>
  <c r="B16" i="45"/>
  <c r="I15" i="46"/>
  <c r="G16" i="47"/>
  <c r="K67" i="47" s="1"/>
  <c r="G27" i="46"/>
  <c r="G25" i="46"/>
  <c r="G23" i="46"/>
  <c r="G18" i="46"/>
  <c r="G20" i="46"/>
  <c r="G22" i="46"/>
  <c r="C53" i="47"/>
  <c r="C54" i="47" s="1"/>
  <c r="C55" i="47" s="1"/>
  <c r="C56" i="47" s="1"/>
  <c r="C57" i="47" s="1"/>
  <c r="C58" i="47" s="1"/>
  <c r="C59" i="47" s="1"/>
  <c r="C60" i="47" s="1"/>
  <c r="C61" i="47" s="1"/>
  <c r="C62" i="47" s="1"/>
  <c r="C63" i="47" s="1"/>
  <c r="C64" i="47" s="1"/>
  <c r="I16" i="46"/>
  <c r="E61" i="47"/>
  <c r="G24" i="47"/>
  <c r="I24" i="46"/>
  <c r="E63" i="47"/>
  <c r="G26" i="47"/>
  <c r="E28" i="46"/>
  <c r="E30" i="46" s="1"/>
  <c r="E62" i="47"/>
  <c r="E49" i="47"/>
  <c r="C73" i="47" s="1"/>
  <c r="C116" i="47" s="1"/>
  <c r="I19" i="43"/>
  <c r="C18" i="42"/>
  <c r="B17" i="41"/>
  <c r="I26" i="42"/>
  <c r="G26" i="43"/>
  <c r="I25" i="43"/>
  <c r="E28" i="43"/>
  <c r="E30" i="43" s="1"/>
  <c r="E49" i="43"/>
  <c r="C73" i="43" s="1"/>
  <c r="C116" i="43" s="1"/>
  <c r="I16" i="42"/>
  <c r="C17" i="42"/>
  <c r="E116" i="43"/>
  <c r="G73" i="43"/>
  <c r="G116" i="43" s="1"/>
  <c r="I15" i="42"/>
  <c r="G18" i="42"/>
  <c r="I19" i="42"/>
  <c r="G20" i="42"/>
  <c r="I21" i="42"/>
  <c r="G22" i="42"/>
  <c r="G24" i="42"/>
  <c r="E28" i="42"/>
  <c r="E30" i="42" s="1"/>
  <c r="C17" i="43"/>
  <c r="C18" i="43" s="1"/>
  <c r="C19" i="43" s="1"/>
  <c r="C20" i="43" s="1"/>
  <c r="C21" i="43" s="1"/>
  <c r="C22" i="43" s="1"/>
  <c r="C23" i="43" s="1"/>
  <c r="C24" i="43" s="1"/>
  <c r="C25" i="43" s="1"/>
  <c r="C26" i="43" s="1"/>
  <c r="C27" i="43" s="1"/>
  <c r="A41" i="43"/>
  <c r="A44" i="43"/>
  <c r="C53" i="43"/>
  <c r="C54" i="43" s="1"/>
  <c r="C55" i="43" s="1"/>
  <c r="C56" i="43" s="1"/>
  <c r="C57" i="43" s="1"/>
  <c r="C58" i="43" s="1"/>
  <c r="C59" i="43" s="1"/>
  <c r="C60" i="43" s="1"/>
  <c r="C61" i="43" s="1"/>
  <c r="C62" i="43" s="1"/>
  <c r="C63" i="43" s="1"/>
  <c r="C64" i="43" s="1"/>
  <c r="E16" i="39"/>
  <c r="E28" i="38"/>
  <c r="E30" i="38" s="1"/>
  <c r="I16" i="38"/>
  <c r="G63" i="39"/>
  <c r="I25" i="39"/>
  <c r="B17" i="37"/>
  <c r="G15" i="39"/>
  <c r="I15" i="39" s="1"/>
  <c r="I15" i="38"/>
  <c r="G26" i="39"/>
  <c r="I26" i="38"/>
  <c r="C17" i="38"/>
  <c r="G21" i="39"/>
  <c r="G23" i="39"/>
  <c r="I23" i="38"/>
  <c r="E49" i="39"/>
  <c r="C73" i="39" s="1"/>
  <c r="C116" i="39" s="1"/>
  <c r="C93" i="39"/>
  <c r="C94" i="39" s="1"/>
  <c r="C95" i="39" s="1"/>
  <c r="C96" i="39" s="1"/>
  <c r="C97" i="39" s="1"/>
  <c r="C98" i="39" s="1"/>
  <c r="C99" i="39" s="1"/>
  <c r="C100" i="39" s="1"/>
  <c r="C101" i="39" s="1"/>
  <c r="C102" i="39" s="1"/>
  <c r="C103" i="39" s="1"/>
  <c r="C104" i="39" s="1"/>
  <c r="G18" i="38"/>
  <c r="G20" i="38"/>
  <c r="G22" i="38"/>
  <c r="G24" i="38"/>
  <c r="I25" i="38"/>
  <c r="I27" i="38"/>
  <c r="C17" i="39"/>
  <c r="C18" i="39" s="1"/>
  <c r="C19" i="39" s="1"/>
  <c r="C20" i="39" s="1"/>
  <c r="C21" i="39" s="1"/>
  <c r="C22" i="39" s="1"/>
  <c r="C23" i="39" s="1"/>
  <c r="C24" i="39" s="1"/>
  <c r="C25" i="39" s="1"/>
  <c r="C26" i="39" s="1"/>
  <c r="C27" i="39" s="1"/>
  <c r="A41" i="39"/>
  <c r="A44" i="39"/>
  <c r="I25" i="42" l="1"/>
  <c r="E64" i="51"/>
  <c r="E53" i="47"/>
  <c r="I21" i="46"/>
  <c r="I17" i="42"/>
  <c r="G19" i="39"/>
  <c r="E61" i="39"/>
  <c r="I19" i="46"/>
  <c r="G17" i="39"/>
  <c r="G55" i="39" s="1"/>
  <c r="I23" i="42"/>
  <c r="E57" i="47"/>
  <c r="E60" i="51"/>
  <c r="E56" i="51"/>
  <c r="G28" i="50"/>
  <c r="G30" i="50" s="1"/>
  <c r="I16" i="39"/>
  <c r="G54" i="39"/>
  <c r="I16" i="43"/>
  <c r="I27" i="42"/>
  <c r="G28" i="42"/>
  <c r="G30" i="42" s="1"/>
  <c r="I17" i="46"/>
  <c r="I64" i="55"/>
  <c r="E57" i="39"/>
  <c r="E60" i="39"/>
  <c r="E63" i="39"/>
  <c r="I63" i="39" s="1"/>
  <c r="E59" i="39"/>
  <c r="G53" i="39"/>
  <c r="E62" i="39"/>
  <c r="E58" i="39"/>
  <c r="E64" i="39"/>
  <c r="E56" i="39"/>
  <c r="E55" i="39"/>
  <c r="E53" i="39"/>
  <c r="E93" i="39" s="1"/>
  <c r="E58" i="51"/>
  <c r="E54" i="51"/>
  <c r="E53" i="51"/>
  <c r="E93" i="51" s="1"/>
  <c r="E61" i="51"/>
  <c r="I57" i="55"/>
  <c r="I28" i="54"/>
  <c r="I30" i="54" s="1"/>
  <c r="I33" i="54" s="1"/>
  <c r="G93" i="55"/>
  <c r="I53" i="55"/>
  <c r="G56" i="55"/>
  <c r="I56" i="55" s="1"/>
  <c r="I18" i="55"/>
  <c r="C20" i="54"/>
  <c r="B19" i="53"/>
  <c r="E94" i="55"/>
  <c r="E95" i="55" s="1"/>
  <c r="E96" i="55" s="1"/>
  <c r="E97" i="55" s="1"/>
  <c r="E98" i="55" s="1"/>
  <c r="E99" i="55" s="1"/>
  <c r="E100" i="55" s="1"/>
  <c r="E101" i="55" s="1"/>
  <c r="E102" i="55" s="1"/>
  <c r="E103" i="55" s="1"/>
  <c r="E104" i="55" s="1"/>
  <c r="I54" i="55"/>
  <c r="G28" i="55"/>
  <c r="G30" i="55" s="1"/>
  <c r="I55" i="55"/>
  <c r="G63" i="55"/>
  <c r="I63" i="55" s="1"/>
  <c r="I25" i="55"/>
  <c r="G62" i="55"/>
  <c r="I62" i="55" s="1"/>
  <c r="I24" i="55"/>
  <c r="G61" i="55"/>
  <c r="I61" i="55" s="1"/>
  <c r="I23" i="55"/>
  <c r="G58" i="55"/>
  <c r="I58" i="55" s="1"/>
  <c r="I20" i="55"/>
  <c r="G60" i="55"/>
  <c r="I60" i="55" s="1"/>
  <c r="I22" i="55"/>
  <c r="G25" i="51"/>
  <c r="I25" i="50"/>
  <c r="G21" i="51"/>
  <c r="I21" i="50"/>
  <c r="G17" i="51"/>
  <c r="I17" i="50"/>
  <c r="G24" i="51"/>
  <c r="I24" i="50"/>
  <c r="G20" i="51"/>
  <c r="I20" i="50"/>
  <c r="C19" i="50"/>
  <c r="B18" i="49"/>
  <c r="E57" i="51"/>
  <c r="G53" i="51"/>
  <c r="G27" i="51"/>
  <c r="I27" i="51" s="1"/>
  <c r="I27" i="50"/>
  <c r="G23" i="51"/>
  <c r="I23" i="50"/>
  <c r="G19" i="51"/>
  <c r="I19" i="50"/>
  <c r="G26" i="51"/>
  <c r="I26" i="50"/>
  <c r="G22" i="51"/>
  <c r="I22" i="50"/>
  <c r="G18" i="51"/>
  <c r="I18" i="50"/>
  <c r="I28" i="50" s="1"/>
  <c r="I30" i="50" s="1"/>
  <c r="I33" i="50" s="1"/>
  <c r="E63" i="51"/>
  <c r="E59" i="51"/>
  <c r="E55" i="51"/>
  <c r="G54" i="51"/>
  <c r="I54" i="51" s="1"/>
  <c r="G64" i="47"/>
  <c r="I26" i="47"/>
  <c r="G20" i="47"/>
  <c r="I20" i="46"/>
  <c r="G23" i="47"/>
  <c r="I23" i="46"/>
  <c r="G27" i="47"/>
  <c r="I27" i="47" s="1"/>
  <c r="I27" i="46"/>
  <c r="G54" i="47"/>
  <c r="G53" i="47"/>
  <c r="I16" i="47"/>
  <c r="E93" i="47"/>
  <c r="E64" i="47"/>
  <c r="E56" i="47"/>
  <c r="G55" i="47"/>
  <c r="G62" i="47"/>
  <c r="I62" i="47" s="1"/>
  <c r="I24" i="47"/>
  <c r="G22" i="47"/>
  <c r="I22" i="46"/>
  <c r="E59" i="47"/>
  <c r="G18" i="47"/>
  <c r="I18" i="46"/>
  <c r="E55" i="47"/>
  <c r="G25" i="47"/>
  <c r="I25" i="46"/>
  <c r="G28" i="46"/>
  <c r="G30" i="46" s="1"/>
  <c r="B17" i="45"/>
  <c r="C18" i="46"/>
  <c r="E60" i="47"/>
  <c r="G57" i="47"/>
  <c r="E54" i="47"/>
  <c r="G59" i="47"/>
  <c r="I59" i="47" s="1"/>
  <c r="E58" i="47"/>
  <c r="I24" i="42"/>
  <c r="G24" i="43"/>
  <c r="I22" i="42"/>
  <c r="G22" i="43"/>
  <c r="I20" i="42"/>
  <c r="I28" i="42" s="1"/>
  <c r="I30" i="42" s="1"/>
  <c r="I33" i="42" s="1"/>
  <c r="G20" i="43"/>
  <c r="I18" i="42"/>
  <c r="G18" i="43"/>
  <c r="G54" i="43"/>
  <c r="E63" i="43"/>
  <c r="E59" i="43"/>
  <c r="E55" i="43"/>
  <c r="E54" i="43"/>
  <c r="E62" i="43"/>
  <c r="G59" i="43"/>
  <c r="I59" i="43" s="1"/>
  <c r="G64" i="43"/>
  <c r="I26" i="43"/>
  <c r="B18" i="41"/>
  <c r="C19" i="42"/>
  <c r="E53" i="43"/>
  <c r="E60" i="43"/>
  <c r="G57" i="43"/>
  <c r="E61" i="43"/>
  <c r="E57" i="43"/>
  <c r="G53" i="43"/>
  <c r="G63" i="43"/>
  <c r="E58" i="43"/>
  <c r="G55" i="43"/>
  <c r="I55" i="43" s="1"/>
  <c r="E64" i="43"/>
  <c r="G61" i="43"/>
  <c r="E56" i="43"/>
  <c r="G22" i="39"/>
  <c r="I22" i="38"/>
  <c r="G18" i="39"/>
  <c r="I18" i="38"/>
  <c r="G28" i="38"/>
  <c r="G30" i="38" s="1"/>
  <c r="G24" i="39"/>
  <c r="I24" i="38"/>
  <c r="G20" i="39"/>
  <c r="I20" i="38"/>
  <c r="G61" i="39"/>
  <c r="I61" i="39" s="1"/>
  <c r="I23" i="39"/>
  <c r="G59" i="39"/>
  <c r="I59" i="39" s="1"/>
  <c r="I21" i="39"/>
  <c r="G57" i="39"/>
  <c r="I19" i="39"/>
  <c r="G64" i="39"/>
  <c r="I26" i="39"/>
  <c r="E54" i="39"/>
  <c r="E28" i="39"/>
  <c r="E30" i="39" s="1"/>
  <c r="B18" i="37"/>
  <c r="C19" i="38"/>
  <c r="I57" i="47" l="1"/>
  <c r="I54" i="39"/>
  <c r="I55" i="39"/>
  <c r="I61" i="43"/>
  <c r="I63" i="43"/>
  <c r="I17" i="39"/>
  <c r="I28" i="38"/>
  <c r="I30" i="38" s="1"/>
  <c r="I33" i="38" s="1"/>
  <c r="I28" i="46"/>
  <c r="I30" i="46" s="1"/>
  <c r="I33" i="46" s="1"/>
  <c r="E65" i="39"/>
  <c r="I64" i="39"/>
  <c r="I57" i="39"/>
  <c r="I53" i="39"/>
  <c r="G93" i="39"/>
  <c r="E65" i="47"/>
  <c r="E65" i="51"/>
  <c r="I28" i="55"/>
  <c r="I30" i="55" s="1"/>
  <c r="I33" i="55" s="1"/>
  <c r="L28" i="2" s="1"/>
  <c r="B20" i="53"/>
  <c r="C21" i="54"/>
  <c r="I65" i="55"/>
  <c r="I67" i="55" s="1"/>
  <c r="G65" i="55"/>
  <c r="E105" i="55"/>
  <c r="E107" i="55" s="1"/>
  <c r="G94" i="55"/>
  <c r="I93" i="55"/>
  <c r="G56" i="51"/>
  <c r="I56" i="51" s="1"/>
  <c r="I18" i="51"/>
  <c r="G57" i="51"/>
  <c r="I57" i="51" s="1"/>
  <c r="I19" i="51"/>
  <c r="G61" i="51"/>
  <c r="I61" i="51" s="1"/>
  <c r="I23" i="51"/>
  <c r="B19" i="49"/>
  <c r="C20" i="50"/>
  <c r="G60" i="51"/>
  <c r="I60" i="51" s="1"/>
  <c r="I22" i="51"/>
  <c r="G64" i="51"/>
  <c r="I64" i="51" s="1"/>
  <c r="I26" i="51"/>
  <c r="G93" i="51"/>
  <c r="I53" i="51"/>
  <c r="E94" i="51"/>
  <c r="E95" i="51" s="1"/>
  <c r="E96" i="51" s="1"/>
  <c r="E97" i="51" s="1"/>
  <c r="E98" i="51" s="1"/>
  <c r="E99" i="51" s="1"/>
  <c r="E100" i="51" s="1"/>
  <c r="E101" i="51" s="1"/>
  <c r="E102" i="51" s="1"/>
  <c r="E103" i="51" s="1"/>
  <c r="E104" i="51" s="1"/>
  <c r="G58" i="51"/>
  <c r="I58" i="51" s="1"/>
  <c r="I20" i="51"/>
  <c r="G62" i="51"/>
  <c r="I62" i="51" s="1"/>
  <c r="I24" i="51"/>
  <c r="I17" i="51"/>
  <c r="G55" i="51"/>
  <c r="I55" i="51" s="1"/>
  <c r="G28" i="51"/>
  <c r="G30" i="51" s="1"/>
  <c r="G59" i="51"/>
  <c r="I59" i="51" s="1"/>
  <c r="I21" i="51"/>
  <c r="G63" i="51"/>
  <c r="I63" i="51" s="1"/>
  <c r="I25" i="51"/>
  <c r="C19" i="46"/>
  <c r="B18" i="45"/>
  <c r="G56" i="47"/>
  <c r="I56" i="47" s="1"/>
  <c r="I18" i="47"/>
  <c r="G93" i="47"/>
  <c r="I53" i="47"/>
  <c r="I25" i="47"/>
  <c r="G63" i="47"/>
  <c r="I63" i="47" s="1"/>
  <c r="G60" i="47"/>
  <c r="I60" i="47" s="1"/>
  <c r="I22" i="47"/>
  <c r="I55" i="47"/>
  <c r="E94" i="47"/>
  <c r="E95" i="47" s="1"/>
  <c r="E96" i="47" s="1"/>
  <c r="E97" i="47" s="1"/>
  <c r="E98" i="47" s="1"/>
  <c r="E99" i="47" s="1"/>
  <c r="E100" i="47" s="1"/>
  <c r="E101" i="47" s="1"/>
  <c r="E102" i="47" s="1"/>
  <c r="E103" i="47" s="1"/>
  <c r="E104" i="47" s="1"/>
  <c r="G28" i="47"/>
  <c r="G30" i="47" s="1"/>
  <c r="I54" i="47"/>
  <c r="G61" i="47"/>
  <c r="I61" i="47" s="1"/>
  <c r="I23" i="47"/>
  <c r="G58" i="47"/>
  <c r="I58" i="47" s="1"/>
  <c r="I20" i="47"/>
  <c r="I64" i="47"/>
  <c r="I54" i="43"/>
  <c r="G93" i="43"/>
  <c r="I53" i="43"/>
  <c r="I57" i="43"/>
  <c r="E93" i="43"/>
  <c r="E65" i="43"/>
  <c r="C20" i="42"/>
  <c r="B19" i="41"/>
  <c r="I64" i="43"/>
  <c r="G56" i="43"/>
  <c r="I56" i="43" s="1"/>
  <c r="I18" i="43"/>
  <c r="G28" i="43"/>
  <c r="G30" i="43" s="1"/>
  <c r="G58" i="43"/>
  <c r="I58" i="43" s="1"/>
  <c r="I20" i="43"/>
  <c r="G60" i="43"/>
  <c r="I60" i="43" s="1"/>
  <c r="I22" i="43"/>
  <c r="G62" i="43"/>
  <c r="I62" i="43" s="1"/>
  <c r="I24" i="43"/>
  <c r="G58" i="39"/>
  <c r="I58" i="39" s="1"/>
  <c r="I20" i="39"/>
  <c r="C20" i="38"/>
  <c r="B19" i="37"/>
  <c r="E94" i="39"/>
  <c r="G56" i="39"/>
  <c r="I18" i="39"/>
  <c r="G28" i="39"/>
  <c r="G30" i="39" s="1"/>
  <c r="G60" i="39"/>
  <c r="I60" i="39" s="1"/>
  <c r="I22" i="39"/>
  <c r="G62" i="39"/>
  <c r="I62" i="39" s="1"/>
  <c r="I24" i="39"/>
  <c r="I28" i="47" l="1"/>
  <c r="I30" i="47" s="1"/>
  <c r="I33" i="47" s="1"/>
  <c r="L26" i="2" s="1"/>
  <c r="R71" i="2"/>
  <c r="M67" i="55"/>
  <c r="M53" i="55" s="1"/>
  <c r="I93" i="39"/>
  <c r="G94" i="39"/>
  <c r="G95" i="39" s="1"/>
  <c r="I28" i="39"/>
  <c r="I30" i="39" s="1"/>
  <c r="I33" i="39" s="1"/>
  <c r="L24" i="2" s="1"/>
  <c r="I94" i="39"/>
  <c r="G95" i="55"/>
  <c r="I94" i="55"/>
  <c r="C22" i="54"/>
  <c r="B21" i="53"/>
  <c r="I28" i="51"/>
  <c r="I30" i="51" s="1"/>
  <c r="I33" i="51" s="1"/>
  <c r="L27" i="2" s="1"/>
  <c r="E105" i="51"/>
  <c r="E107" i="51" s="1"/>
  <c r="G94" i="51"/>
  <c r="I93" i="51"/>
  <c r="I65" i="51"/>
  <c r="I67" i="51" s="1"/>
  <c r="G65" i="51"/>
  <c r="C21" i="50"/>
  <c r="B20" i="49"/>
  <c r="E105" i="47"/>
  <c r="E107" i="47" s="1"/>
  <c r="I65" i="47"/>
  <c r="I67" i="47" s="1"/>
  <c r="G65" i="47"/>
  <c r="C20" i="46"/>
  <c r="B19" i="45"/>
  <c r="G94" i="47"/>
  <c r="I93" i="47"/>
  <c r="I28" i="43"/>
  <c r="I30" i="43" s="1"/>
  <c r="I33" i="43" s="1"/>
  <c r="L25" i="2" s="1"/>
  <c r="E94" i="43"/>
  <c r="E95" i="43" s="1"/>
  <c r="E96" i="43" s="1"/>
  <c r="E97" i="43" s="1"/>
  <c r="E98" i="43" s="1"/>
  <c r="E99" i="43" s="1"/>
  <c r="E100" i="43" s="1"/>
  <c r="E101" i="43" s="1"/>
  <c r="E102" i="43" s="1"/>
  <c r="E103" i="43" s="1"/>
  <c r="E104" i="43" s="1"/>
  <c r="I65" i="43"/>
  <c r="I67" i="43" s="1"/>
  <c r="G65" i="43"/>
  <c r="B20" i="41"/>
  <c r="C21" i="42"/>
  <c r="G94" i="43"/>
  <c r="I93" i="43"/>
  <c r="I56" i="39"/>
  <c r="I65" i="39" s="1"/>
  <c r="I67" i="39" s="1"/>
  <c r="M67" i="39" s="1"/>
  <c r="M53" i="39" s="1"/>
  <c r="G65" i="39"/>
  <c r="B20" i="37"/>
  <c r="C21" i="38"/>
  <c r="E95" i="39"/>
  <c r="E96" i="39" s="1"/>
  <c r="E97" i="39" s="1"/>
  <c r="E98" i="39" s="1"/>
  <c r="E99" i="39" s="1"/>
  <c r="E100" i="39" s="1"/>
  <c r="E101" i="39" s="1"/>
  <c r="E102" i="39" s="1"/>
  <c r="E103" i="39" s="1"/>
  <c r="E104" i="39" s="1"/>
  <c r="G96" i="39"/>
  <c r="I95" i="39" l="1"/>
  <c r="R70" i="2"/>
  <c r="M67" i="51"/>
  <c r="M53" i="51" s="1"/>
  <c r="R67" i="2"/>
  <c r="R68" i="2"/>
  <c r="M67" i="43"/>
  <c r="M53" i="43" s="1"/>
  <c r="R69" i="2"/>
  <c r="M67" i="47"/>
  <c r="M53" i="47" s="1"/>
  <c r="M54" i="55"/>
  <c r="M55" i="55" s="1"/>
  <c r="M56" i="55" s="1"/>
  <c r="M57" i="55" s="1"/>
  <c r="M58" i="55" s="1"/>
  <c r="M59" i="55" s="1"/>
  <c r="M93" i="55"/>
  <c r="B22" i="53"/>
  <c r="C23" i="54"/>
  <c r="G96" i="55"/>
  <c r="I95" i="55"/>
  <c r="B21" i="49"/>
  <c r="C22" i="50"/>
  <c r="G95" i="51"/>
  <c r="I94" i="51"/>
  <c r="G95" i="47"/>
  <c r="I94" i="47"/>
  <c r="C21" i="46"/>
  <c r="B20" i="45"/>
  <c r="G95" i="43"/>
  <c r="I94" i="43"/>
  <c r="C22" i="42"/>
  <c r="B21" i="41"/>
  <c r="E105" i="43"/>
  <c r="E107" i="43" s="1"/>
  <c r="C22" i="38"/>
  <c r="B21" i="37"/>
  <c r="G97" i="39"/>
  <c r="I96" i="39"/>
  <c r="E105" i="39"/>
  <c r="E107" i="39" s="1"/>
  <c r="M60" i="55" l="1"/>
  <c r="M61" i="55" s="1"/>
  <c r="M94" i="55"/>
  <c r="M95" i="55" s="1"/>
  <c r="M96" i="55" s="1"/>
  <c r="M97" i="55" s="1"/>
  <c r="M98" i="55" s="1"/>
  <c r="M99" i="55" s="1"/>
  <c r="M100" i="55" s="1"/>
  <c r="M93" i="47"/>
  <c r="M54" i="47"/>
  <c r="M55" i="47" s="1"/>
  <c r="M56" i="47" s="1"/>
  <c r="M57" i="47" s="1"/>
  <c r="M58" i="47" s="1"/>
  <c r="M54" i="43"/>
  <c r="M55" i="43" s="1"/>
  <c r="M56" i="43" s="1"/>
  <c r="M57" i="43" s="1"/>
  <c r="M58" i="43" s="1"/>
  <c r="M59" i="43" s="1"/>
  <c r="M60" i="43" s="1"/>
  <c r="M61" i="43" s="1"/>
  <c r="M62" i="43" s="1"/>
  <c r="M63" i="43" s="1"/>
  <c r="M64" i="43" s="1"/>
  <c r="M93" i="43"/>
  <c r="M54" i="39"/>
  <c r="M55" i="39" s="1"/>
  <c r="M56" i="39" s="1"/>
  <c r="M57" i="39" s="1"/>
  <c r="M58" i="39" s="1"/>
  <c r="M59" i="39" s="1"/>
  <c r="M60" i="39" s="1"/>
  <c r="M61" i="39" s="1"/>
  <c r="M62" i="39" s="1"/>
  <c r="M63" i="39" s="1"/>
  <c r="M64" i="39" s="1"/>
  <c r="M93" i="39"/>
  <c r="M54" i="51"/>
  <c r="M55" i="51" s="1"/>
  <c r="M56" i="51" s="1"/>
  <c r="M57" i="51" s="1"/>
  <c r="M58" i="51" s="1"/>
  <c r="M59" i="51" s="1"/>
  <c r="M60" i="51" s="1"/>
  <c r="M61" i="51" s="1"/>
  <c r="M62" i="51" s="1"/>
  <c r="M63" i="51" s="1"/>
  <c r="M64" i="51" s="1"/>
  <c r="M65" i="51" s="1"/>
  <c r="M93" i="51"/>
  <c r="G97" i="55"/>
  <c r="I96" i="55"/>
  <c r="C24" i="54"/>
  <c r="B23" i="53"/>
  <c r="G96" i="51"/>
  <c r="I95" i="51"/>
  <c r="C23" i="50"/>
  <c r="B22" i="49"/>
  <c r="G96" i="47"/>
  <c r="I95" i="47"/>
  <c r="C22" i="46"/>
  <c r="B21" i="45"/>
  <c r="B22" i="41"/>
  <c r="C23" i="42"/>
  <c r="G96" i="43"/>
  <c r="I95" i="43"/>
  <c r="G98" i="39"/>
  <c r="I97" i="39"/>
  <c r="B22" i="37"/>
  <c r="C23" i="38"/>
  <c r="M65" i="39" l="1"/>
  <c r="M62" i="55"/>
  <c r="M63" i="55" s="1"/>
  <c r="M64" i="55" s="1"/>
  <c r="M65" i="55"/>
  <c r="M101" i="55"/>
  <c r="M102" i="55" s="1"/>
  <c r="M103" i="55" s="1"/>
  <c r="M104" i="55" s="1"/>
  <c r="M59" i="47"/>
  <c r="M60" i="47" s="1"/>
  <c r="M61" i="47" s="1"/>
  <c r="M62" i="47" s="1"/>
  <c r="M63" i="47" s="1"/>
  <c r="M64" i="47" s="1"/>
  <c r="M65" i="43"/>
  <c r="M94" i="39"/>
  <c r="M95" i="39" s="1"/>
  <c r="M96" i="39" s="1"/>
  <c r="M97" i="39" s="1"/>
  <c r="M98" i="39" s="1"/>
  <c r="M99" i="39" s="1"/>
  <c r="M100" i="39" s="1"/>
  <c r="M101" i="39" s="1"/>
  <c r="M102" i="39" s="1"/>
  <c r="M103" i="39" s="1"/>
  <c r="M104" i="39" s="1"/>
  <c r="M94" i="51"/>
  <c r="M95" i="51" s="1"/>
  <c r="M96" i="51" s="1"/>
  <c r="M97" i="51" s="1"/>
  <c r="M98" i="51" s="1"/>
  <c r="M99" i="51" s="1"/>
  <c r="M100" i="51" s="1"/>
  <c r="M101" i="51" s="1"/>
  <c r="M102" i="51" s="1"/>
  <c r="M103" i="51" s="1"/>
  <c r="M104" i="51" s="1"/>
  <c r="M105" i="51" s="1"/>
  <c r="M107" i="51" s="1"/>
  <c r="M110" i="51" s="1"/>
  <c r="T70" i="2" s="1"/>
  <c r="M94" i="43"/>
  <c r="M95" i="43" s="1"/>
  <c r="M96" i="43" s="1"/>
  <c r="M97" i="43" s="1"/>
  <c r="M98" i="43" s="1"/>
  <c r="M99" i="43" s="1"/>
  <c r="M100" i="43" s="1"/>
  <c r="M101" i="43" s="1"/>
  <c r="M102" i="43" s="1"/>
  <c r="M103" i="43" s="1"/>
  <c r="M104" i="43" s="1"/>
  <c r="M94" i="47"/>
  <c r="M95" i="47" s="1"/>
  <c r="M96" i="47" s="1"/>
  <c r="M97" i="47" s="1"/>
  <c r="M98" i="47" s="1"/>
  <c r="M99" i="47" s="1"/>
  <c r="B24" i="53"/>
  <c r="C25" i="54"/>
  <c r="G98" i="55"/>
  <c r="I97" i="55"/>
  <c r="B23" i="49"/>
  <c r="C24" i="50"/>
  <c r="G97" i="51"/>
  <c r="I96" i="51"/>
  <c r="C23" i="46"/>
  <c r="B22" i="45"/>
  <c r="G97" i="47"/>
  <c r="I96" i="47"/>
  <c r="G97" i="43"/>
  <c r="I96" i="43"/>
  <c r="C24" i="42"/>
  <c r="B23" i="41"/>
  <c r="C24" i="38"/>
  <c r="B23" i="37"/>
  <c r="G99" i="39"/>
  <c r="I98" i="39"/>
  <c r="M105" i="55" l="1"/>
  <c r="M107" i="55" s="1"/>
  <c r="M110" i="55" s="1"/>
  <c r="T71" i="2" s="1"/>
  <c r="M100" i="47"/>
  <c r="M101" i="47" s="1"/>
  <c r="M102" i="47" s="1"/>
  <c r="M103" i="47" s="1"/>
  <c r="M104" i="47" s="1"/>
  <c r="M65" i="47"/>
  <c r="M105" i="43"/>
  <c r="M107" i="43" s="1"/>
  <c r="M110" i="43" s="1"/>
  <c r="T68" i="2" s="1"/>
  <c r="M105" i="39"/>
  <c r="M107" i="39" s="1"/>
  <c r="M110" i="39" s="1"/>
  <c r="T67" i="2" s="1"/>
  <c r="G99" i="55"/>
  <c r="I98" i="55"/>
  <c r="C26" i="54"/>
  <c r="B25" i="53"/>
  <c r="C27" i="54" s="1"/>
  <c r="G98" i="51"/>
  <c r="I97" i="51"/>
  <c r="C25" i="50"/>
  <c r="B24" i="49"/>
  <c r="C24" i="46"/>
  <c r="B23" i="45"/>
  <c r="G98" i="47"/>
  <c r="I97" i="47"/>
  <c r="B24" i="41"/>
  <c r="C25" i="42"/>
  <c r="G98" i="43"/>
  <c r="I97" i="43"/>
  <c r="B24" i="37"/>
  <c r="C25" i="38"/>
  <c r="G100" i="39"/>
  <c r="I99" i="39"/>
  <c r="M105" i="47" l="1"/>
  <c r="M107" i="47" s="1"/>
  <c r="M110" i="47" s="1"/>
  <c r="T69" i="2" s="1"/>
  <c r="G100" i="55"/>
  <c r="I99" i="55"/>
  <c r="B25" i="49"/>
  <c r="C27" i="50" s="1"/>
  <c r="C26" i="50"/>
  <c r="G99" i="51"/>
  <c r="I98" i="51"/>
  <c r="G99" i="47"/>
  <c r="I98" i="47"/>
  <c r="C25" i="46"/>
  <c r="B24" i="45"/>
  <c r="G99" i="43"/>
  <c r="I98" i="43"/>
  <c r="C26" i="42"/>
  <c r="B25" i="41"/>
  <c r="C27" i="42" s="1"/>
  <c r="G101" i="39"/>
  <c r="I100" i="39"/>
  <c r="C26" i="38"/>
  <c r="B25" i="37"/>
  <c r="C27" i="38" s="1"/>
  <c r="G101" i="55" l="1"/>
  <c r="I100" i="55"/>
  <c r="G100" i="51"/>
  <c r="I99" i="51"/>
  <c r="C26" i="46"/>
  <c r="B25" i="45"/>
  <c r="C27" i="46" s="1"/>
  <c r="G100" i="47"/>
  <c r="I99" i="47"/>
  <c r="G100" i="43"/>
  <c r="I99" i="43"/>
  <c r="G102" i="39"/>
  <c r="I101" i="39"/>
  <c r="G102" i="55" l="1"/>
  <c r="I101" i="55"/>
  <c r="G101" i="51"/>
  <c r="I100" i="51"/>
  <c r="G101" i="47"/>
  <c r="I100" i="47"/>
  <c r="G101" i="43"/>
  <c r="I100" i="43"/>
  <c r="G103" i="39"/>
  <c r="I102" i="39"/>
  <c r="G103" i="55" l="1"/>
  <c r="I102" i="55"/>
  <c r="G102" i="51"/>
  <c r="I101" i="51"/>
  <c r="G102" i="47"/>
  <c r="I101" i="47"/>
  <c r="G102" i="43"/>
  <c r="I101" i="43"/>
  <c r="G104" i="39"/>
  <c r="I103" i="39"/>
  <c r="G104" i="55" l="1"/>
  <c r="I103" i="55"/>
  <c r="G103" i="51"/>
  <c r="I102" i="51"/>
  <c r="G103" i="47"/>
  <c r="I102" i="47"/>
  <c r="G103" i="43"/>
  <c r="I102" i="43"/>
  <c r="I104" i="39"/>
  <c r="I105" i="39" s="1"/>
  <c r="I107" i="39" s="1"/>
  <c r="I110" i="39" s="1"/>
  <c r="L67" i="2" s="1"/>
  <c r="G105" i="39"/>
  <c r="G107" i="39" s="1"/>
  <c r="I104" i="55" l="1"/>
  <c r="I105" i="55" s="1"/>
  <c r="I107" i="55" s="1"/>
  <c r="I110" i="55" s="1"/>
  <c r="L71" i="2" s="1"/>
  <c r="G105" i="55"/>
  <c r="G107" i="55" s="1"/>
  <c r="G104" i="51"/>
  <c r="I103" i="51"/>
  <c r="G104" i="47"/>
  <c r="I103" i="47"/>
  <c r="G104" i="43"/>
  <c r="I103" i="43"/>
  <c r="A6" i="36"/>
  <c r="A3" i="36"/>
  <c r="A93" i="34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I92" i="34"/>
  <c r="A54" i="34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16" i="34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E11" i="34"/>
  <c r="E49" i="34" s="1"/>
  <c r="C73" i="34" s="1"/>
  <c r="C116" i="34" s="1"/>
  <c r="A8" i="34"/>
  <c r="A6" i="34"/>
  <c r="A83" i="34" s="1"/>
  <c r="A3" i="34"/>
  <c r="A80" i="34" s="1"/>
  <c r="E26" i="33"/>
  <c r="E25" i="33"/>
  <c r="E24" i="33"/>
  <c r="E23" i="33"/>
  <c r="E22" i="33"/>
  <c r="E21" i="33"/>
  <c r="E20" i="33"/>
  <c r="E19" i="33"/>
  <c r="E18" i="33"/>
  <c r="E17" i="33"/>
  <c r="G16" i="33"/>
  <c r="G23" i="33" s="1"/>
  <c r="E16" i="33"/>
  <c r="C16" i="33"/>
  <c r="A16" i="33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G15" i="33"/>
  <c r="E15" i="33"/>
  <c r="C15" i="33"/>
  <c r="A6" i="33"/>
  <c r="A3" i="33"/>
  <c r="E27" i="33"/>
  <c r="B15" i="32"/>
  <c r="E73" i="34"/>
  <c r="E116" i="34" s="1"/>
  <c r="A6" i="31"/>
  <c r="A3" i="31"/>
  <c r="A93" i="30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I92" i="30"/>
  <c r="A54" i="30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18" i="30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16" i="30"/>
  <c r="A17" i="30" s="1"/>
  <c r="E11" i="30"/>
  <c r="E88" i="30" s="1"/>
  <c r="A8" i="30"/>
  <c r="A6" i="30"/>
  <c r="A83" i="30" s="1"/>
  <c r="A3" i="30"/>
  <c r="A80" i="30" s="1"/>
  <c r="E20" i="29"/>
  <c r="E20" i="30" s="1"/>
  <c r="E19" i="29"/>
  <c r="E19" i="30" s="1"/>
  <c r="E18" i="29"/>
  <c r="E18" i="30" s="1"/>
  <c r="E17" i="29"/>
  <c r="E17" i="30" s="1"/>
  <c r="G16" i="29"/>
  <c r="G25" i="29" s="1"/>
  <c r="G25" i="30" s="1"/>
  <c r="E16" i="29"/>
  <c r="E16" i="30" s="1"/>
  <c r="C16" i="29"/>
  <c r="C16" i="30" s="1"/>
  <c r="C93" i="30" s="1"/>
  <c r="C94" i="30" s="1"/>
  <c r="C95" i="30" s="1"/>
  <c r="C96" i="30" s="1"/>
  <c r="C97" i="30" s="1"/>
  <c r="C98" i="30" s="1"/>
  <c r="C99" i="30" s="1"/>
  <c r="C100" i="30" s="1"/>
  <c r="C101" i="30" s="1"/>
  <c r="C102" i="30" s="1"/>
  <c r="C103" i="30" s="1"/>
  <c r="C104" i="30" s="1"/>
  <c r="A16" i="29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G15" i="29"/>
  <c r="E15" i="29"/>
  <c r="E15" i="30" s="1"/>
  <c r="C15" i="29"/>
  <c r="C15" i="30" s="1"/>
  <c r="C92" i="30" s="1"/>
  <c r="A6" i="29"/>
  <c r="A3" i="29"/>
  <c r="E21" i="29"/>
  <c r="E21" i="30" s="1"/>
  <c r="B15" i="28"/>
  <c r="B16" i="28" s="1"/>
  <c r="C18" i="29" s="1"/>
  <c r="E73" i="30"/>
  <c r="A6" i="27"/>
  <c r="A74" i="27" s="1"/>
  <c r="A3" i="27"/>
  <c r="A71" i="27" s="1"/>
  <c r="A93" i="26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I92" i="26"/>
  <c r="A56" i="26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54" i="26"/>
  <c r="A55" i="26" s="1"/>
  <c r="A16" i="26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E11" i="26"/>
  <c r="A8" i="26"/>
  <c r="A6" i="26"/>
  <c r="A83" i="26" s="1"/>
  <c r="A3" i="26"/>
  <c r="A80" i="26" s="1"/>
  <c r="E25" i="25"/>
  <c r="E25" i="26" s="1"/>
  <c r="E24" i="25"/>
  <c r="E24" i="26" s="1"/>
  <c r="E23" i="25"/>
  <c r="E23" i="26" s="1"/>
  <c r="E22" i="25"/>
  <c r="E22" i="26" s="1"/>
  <c r="E21" i="25"/>
  <c r="E21" i="26" s="1"/>
  <c r="E20" i="25"/>
  <c r="E20" i="26" s="1"/>
  <c r="E19" i="25"/>
  <c r="E19" i="26" s="1"/>
  <c r="E18" i="25"/>
  <c r="E18" i="26" s="1"/>
  <c r="E17" i="25"/>
  <c r="G16" i="25"/>
  <c r="G26" i="25" s="1"/>
  <c r="E16" i="25"/>
  <c r="E16" i="26" s="1"/>
  <c r="C16" i="25"/>
  <c r="C16" i="26" s="1"/>
  <c r="A16" i="25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G15" i="25"/>
  <c r="G15" i="26" s="1"/>
  <c r="E15" i="25"/>
  <c r="C15" i="25"/>
  <c r="C15" i="26" s="1"/>
  <c r="C92" i="26" s="1"/>
  <c r="A6" i="25"/>
  <c r="A3" i="25"/>
  <c r="E26" i="25"/>
  <c r="E26" i="26" s="1"/>
  <c r="B15" i="24"/>
  <c r="C17" i="25" s="1"/>
  <c r="E73" i="26"/>
  <c r="E116" i="26" s="1"/>
  <c r="A6" i="23"/>
  <c r="A73" i="23" s="1"/>
  <c r="A3" i="23"/>
  <c r="A70" i="23" s="1"/>
  <c r="A93" i="22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I92" i="22"/>
  <c r="A54" i="22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17" i="22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16" i="22"/>
  <c r="E11" i="22"/>
  <c r="E88" i="22" s="1"/>
  <c r="A8" i="22"/>
  <c r="A6" i="22"/>
  <c r="A3" i="22"/>
  <c r="E25" i="21"/>
  <c r="E25" i="22" s="1"/>
  <c r="E24" i="21"/>
  <c r="E24" i="22" s="1"/>
  <c r="E23" i="21"/>
  <c r="E23" i="22" s="1"/>
  <c r="E22" i="21"/>
  <c r="E22" i="22" s="1"/>
  <c r="E21" i="21"/>
  <c r="E21" i="22" s="1"/>
  <c r="E20" i="21"/>
  <c r="E20" i="22" s="1"/>
  <c r="E19" i="21"/>
  <c r="E19" i="22" s="1"/>
  <c r="E18" i="21"/>
  <c r="E18" i="22" s="1"/>
  <c r="E17" i="21"/>
  <c r="E17" i="22" s="1"/>
  <c r="G16" i="21"/>
  <c r="G25" i="21" s="1"/>
  <c r="E16" i="21"/>
  <c r="C16" i="21"/>
  <c r="C16" i="22" s="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G15" i="21"/>
  <c r="G15" i="22" s="1"/>
  <c r="E15" i="21"/>
  <c r="E15" i="22" s="1"/>
  <c r="C15" i="21"/>
  <c r="C15" i="22" s="1"/>
  <c r="C92" i="22" s="1"/>
  <c r="A6" i="21"/>
  <c r="A3" i="21"/>
  <c r="E26" i="21"/>
  <c r="E26" i="22" s="1"/>
  <c r="B15" i="20"/>
  <c r="B16" i="20" s="1"/>
  <c r="E73" i="22"/>
  <c r="A6" i="19"/>
  <c r="A73" i="19" s="1"/>
  <c r="A3" i="19"/>
  <c r="A70" i="19" s="1"/>
  <c r="A93" i="18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I92" i="18"/>
  <c r="A54" i="18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17" i="18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16" i="18"/>
  <c r="E11" i="18"/>
  <c r="E88" i="18" s="1"/>
  <c r="A8" i="18"/>
  <c r="A6" i="18"/>
  <c r="A83" i="18" s="1"/>
  <c r="A3" i="18"/>
  <c r="A80" i="18" s="1"/>
  <c r="E24" i="17"/>
  <c r="E24" i="18" s="1"/>
  <c r="E23" i="17"/>
  <c r="E23" i="18" s="1"/>
  <c r="E22" i="17"/>
  <c r="E22" i="18" s="1"/>
  <c r="E21" i="17"/>
  <c r="E21" i="18" s="1"/>
  <c r="E20" i="17"/>
  <c r="E20" i="18" s="1"/>
  <c r="E19" i="17"/>
  <c r="E19" i="18" s="1"/>
  <c r="E18" i="17"/>
  <c r="E18" i="18" s="1"/>
  <c r="E17" i="17"/>
  <c r="E17" i="18" s="1"/>
  <c r="G16" i="17"/>
  <c r="G26" i="17" s="1"/>
  <c r="E16" i="17"/>
  <c r="C16" i="17"/>
  <c r="C16" i="18" s="1"/>
  <c r="A16" i="17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G15" i="17"/>
  <c r="E15" i="17"/>
  <c r="E15" i="18" s="1"/>
  <c r="C15" i="17"/>
  <c r="C15" i="18" s="1"/>
  <c r="C92" i="18" s="1"/>
  <c r="A6" i="17"/>
  <c r="A3" i="17"/>
  <c r="E25" i="17"/>
  <c r="E25" i="18" s="1"/>
  <c r="B15" i="16"/>
  <c r="C17" i="17" s="1"/>
  <c r="E73" i="18"/>
  <c r="A6" i="15"/>
  <c r="A73" i="15" s="1"/>
  <c r="A3" i="15"/>
  <c r="A70" i="15" s="1"/>
  <c r="A93" i="14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I92" i="14"/>
  <c r="A54" i="14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16" i="14"/>
  <c r="E11" i="14"/>
  <c r="E88" i="14" s="1"/>
  <c r="A8" i="14"/>
  <c r="A6" i="14"/>
  <c r="A83" i="14" s="1"/>
  <c r="A3" i="14"/>
  <c r="A80" i="14" s="1"/>
  <c r="E22" i="13"/>
  <c r="E22" i="14" s="1"/>
  <c r="E21" i="13"/>
  <c r="E21" i="14" s="1"/>
  <c r="E20" i="13"/>
  <c r="E20" i="14" s="1"/>
  <c r="E19" i="13"/>
  <c r="E19" i="14" s="1"/>
  <c r="E18" i="13"/>
  <c r="E18" i="14" s="1"/>
  <c r="E17" i="13"/>
  <c r="E17" i="14" s="1"/>
  <c r="G16" i="13"/>
  <c r="G26" i="13" s="1"/>
  <c r="E16" i="13"/>
  <c r="C16" i="13"/>
  <c r="C16" i="14" s="1"/>
  <c r="A17" i="13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G15" i="13"/>
  <c r="E15" i="13"/>
  <c r="E15" i="14" s="1"/>
  <c r="C15" i="13"/>
  <c r="C15" i="14" s="1"/>
  <c r="C92" i="14" s="1"/>
  <c r="A6" i="13"/>
  <c r="A3" i="13"/>
  <c r="E23" i="13"/>
  <c r="E23" i="14" s="1"/>
  <c r="B15" i="12"/>
  <c r="B16" i="12" s="1"/>
  <c r="E73" i="14"/>
  <c r="B16" i="32" l="1"/>
  <c r="C17" i="29"/>
  <c r="B16" i="24"/>
  <c r="C18" i="25" s="1"/>
  <c r="C17" i="33"/>
  <c r="B16" i="16"/>
  <c r="C18" i="17" s="1"/>
  <c r="G26" i="29"/>
  <c r="G21" i="33"/>
  <c r="G17" i="29"/>
  <c r="G17" i="30" s="1"/>
  <c r="I17" i="30" s="1"/>
  <c r="G23" i="29"/>
  <c r="G23" i="30" s="1"/>
  <c r="G17" i="33"/>
  <c r="G25" i="33"/>
  <c r="G25" i="34" s="1"/>
  <c r="G27" i="33"/>
  <c r="G27" i="34" s="1"/>
  <c r="G19" i="13"/>
  <c r="G19" i="14" s="1"/>
  <c r="G25" i="13"/>
  <c r="G25" i="14" s="1"/>
  <c r="G17" i="13"/>
  <c r="I17" i="13" s="1"/>
  <c r="G21" i="13"/>
  <c r="I21" i="13" s="1"/>
  <c r="G23" i="13"/>
  <c r="G23" i="14" s="1"/>
  <c r="G27" i="13"/>
  <c r="G27" i="14" s="1"/>
  <c r="G19" i="17"/>
  <c r="G19" i="18" s="1"/>
  <c r="G23" i="17"/>
  <c r="G23" i="18" s="1"/>
  <c r="G17" i="17"/>
  <c r="G17" i="18" s="1"/>
  <c r="G21" i="17"/>
  <c r="I21" i="17" s="1"/>
  <c r="G19" i="21"/>
  <c r="G19" i="22" s="1"/>
  <c r="G23" i="21"/>
  <c r="G23" i="22" s="1"/>
  <c r="G16" i="22"/>
  <c r="K67" i="22" s="1"/>
  <c r="E49" i="22"/>
  <c r="C73" i="22" s="1"/>
  <c r="C116" i="22" s="1"/>
  <c r="I15" i="22"/>
  <c r="G17" i="21"/>
  <c r="G17" i="22" s="1"/>
  <c r="I17" i="22" s="1"/>
  <c r="G21" i="21"/>
  <c r="G21" i="22" s="1"/>
  <c r="I21" i="22" s="1"/>
  <c r="I15" i="25"/>
  <c r="I15" i="29"/>
  <c r="G19" i="29"/>
  <c r="I19" i="29" s="1"/>
  <c r="G21" i="29"/>
  <c r="G21" i="30" s="1"/>
  <c r="I21" i="30" s="1"/>
  <c r="A41" i="30"/>
  <c r="C17" i="30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A44" i="30"/>
  <c r="A41" i="34"/>
  <c r="E88" i="34"/>
  <c r="A71" i="36"/>
  <c r="G19" i="33"/>
  <c r="A44" i="34"/>
  <c r="A74" i="36"/>
  <c r="I104" i="51"/>
  <c r="I105" i="51" s="1"/>
  <c r="I107" i="51" s="1"/>
  <c r="I110" i="51" s="1"/>
  <c r="L70" i="2" s="1"/>
  <c r="G105" i="51"/>
  <c r="G107" i="51" s="1"/>
  <c r="I104" i="47"/>
  <c r="I105" i="47" s="1"/>
  <c r="I107" i="47" s="1"/>
  <c r="I110" i="47" s="1"/>
  <c r="L69" i="2" s="1"/>
  <c r="G105" i="47"/>
  <c r="G107" i="47" s="1"/>
  <c r="I104" i="43"/>
  <c r="I105" i="43" s="1"/>
  <c r="I107" i="43" s="1"/>
  <c r="I110" i="43" s="1"/>
  <c r="L68" i="2" s="1"/>
  <c r="G105" i="43"/>
  <c r="G107" i="43" s="1"/>
  <c r="E27" i="34"/>
  <c r="I16" i="33"/>
  <c r="C15" i="34"/>
  <c r="C92" i="34" s="1"/>
  <c r="E18" i="34"/>
  <c r="E22" i="34"/>
  <c r="E26" i="34"/>
  <c r="B17" i="32"/>
  <c r="E15" i="34"/>
  <c r="I15" i="33"/>
  <c r="C16" i="34"/>
  <c r="G16" i="34"/>
  <c r="K67" i="34" s="1"/>
  <c r="E17" i="34"/>
  <c r="C18" i="33"/>
  <c r="G18" i="33"/>
  <c r="E19" i="34"/>
  <c r="G20" i="33"/>
  <c r="E21" i="34"/>
  <c r="G22" i="33"/>
  <c r="E23" i="34"/>
  <c r="I23" i="33"/>
  <c r="G24" i="33"/>
  <c r="E25" i="34"/>
  <c r="G26" i="33"/>
  <c r="E28" i="33"/>
  <c r="E30" i="33" s="1"/>
  <c r="G15" i="34"/>
  <c r="E16" i="34"/>
  <c r="E20" i="34"/>
  <c r="G23" i="34"/>
  <c r="E24" i="34"/>
  <c r="G73" i="34"/>
  <c r="G116" i="34" s="1"/>
  <c r="G17" i="34"/>
  <c r="G73" i="30"/>
  <c r="G116" i="30" s="1"/>
  <c r="E116" i="30"/>
  <c r="I16" i="29"/>
  <c r="G26" i="30"/>
  <c r="G15" i="30"/>
  <c r="I15" i="30" s="1"/>
  <c r="B17" i="28"/>
  <c r="G16" i="30"/>
  <c r="K67" i="30" s="1"/>
  <c r="G27" i="29"/>
  <c r="G18" i="29"/>
  <c r="G20" i="29"/>
  <c r="G22" i="29"/>
  <c r="G24" i="29"/>
  <c r="C53" i="30"/>
  <c r="C54" i="30" s="1"/>
  <c r="C55" i="30" s="1"/>
  <c r="C56" i="30" s="1"/>
  <c r="C57" i="30" s="1"/>
  <c r="C58" i="30" s="1"/>
  <c r="C59" i="30" s="1"/>
  <c r="C60" i="30" s="1"/>
  <c r="C61" i="30" s="1"/>
  <c r="C62" i="30" s="1"/>
  <c r="C63" i="30" s="1"/>
  <c r="C64" i="30" s="1"/>
  <c r="E49" i="30"/>
  <c r="C73" i="30" s="1"/>
  <c r="C116" i="30" s="1"/>
  <c r="A72" i="31"/>
  <c r="A75" i="31"/>
  <c r="C17" i="26"/>
  <c r="C18" i="26" s="1"/>
  <c r="C19" i="26" s="1"/>
  <c r="C20" i="26" s="1"/>
  <c r="C21" i="26" s="1"/>
  <c r="C22" i="26" s="1"/>
  <c r="C23" i="26" s="1"/>
  <c r="C24" i="26" s="1"/>
  <c r="C25" i="26" s="1"/>
  <c r="C26" i="26" s="1"/>
  <c r="C27" i="26" s="1"/>
  <c r="C93" i="26"/>
  <c r="C94" i="26" s="1"/>
  <c r="C95" i="26" s="1"/>
  <c r="C96" i="26" s="1"/>
  <c r="C97" i="26" s="1"/>
  <c r="C98" i="26" s="1"/>
  <c r="C99" i="26" s="1"/>
  <c r="C100" i="26" s="1"/>
  <c r="C101" i="26" s="1"/>
  <c r="C102" i="26" s="1"/>
  <c r="C103" i="26" s="1"/>
  <c r="C104" i="26" s="1"/>
  <c r="C53" i="26"/>
  <c r="C54" i="26" s="1"/>
  <c r="C55" i="26" s="1"/>
  <c r="C56" i="26" s="1"/>
  <c r="C57" i="26" s="1"/>
  <c r="C58" i="26" s="1"/>
  <c r="C59" i="26" s="1"/>
  <c r="C60" i="26" s="1"/>
  <c r="C61" i="26" s="1"/>
  <c r="C62" i="26" s="1"/>
  <c r="C63" i="26" s="1"/>
  <c r="C64" i="26" s="1"/>
  <c r="G26" i="26"/>
  <c r="I26" i="25"/>
  <c r="B17" i="24"/>
  <c r="E27" i="25"/>
  <c r="E27" i="26" s="1"/>
  <c r="I16" i="25"/>
  <c r="G17" i="25"/>
  <c r="G19" i="25"/>
  <c r="G21" i="25"/>
  <c r="G23" i="25"/>
  <c r="G25" i="25"/>
  <c r="G27" i="25"/>
  <c r="E88" i="26"/>
  <c r="E49" i="26"/>
  <c r="C73" i="26" s="1"/>
  <c r="C116" i="26" s="1"/>
  <c r="E15" i="26"/>
  <c r="G16" i="26"/>
  <c r="K67" i="26" s="1"/>
  <c r="E17" i="26"/>
  <c r="E28" i="26" s="1"/>
  <c r="E30" i="26" s="1"/>
  <c r="A41" i="26"/>
  <c r="G18" i="25"/>
  <c r="G20" i="25"/>
  <c r="G22" i="25"/>
  <c r="G24" i="25"/>
  <c r="A44" i="26"/>
  <c r="G73" i="26"/>
  <c r="G116" i="26" s="1"/>
  <c r="C93" i="22"/>
  <c r="C94" i="22" s="1"/>
  <c r="C95" i="22" s="1"/>
  <c r="C96" i="22" s="1"/>
  <c r="C97" i="22" s="1"/>
  <c r="C98" i="22" s="1"/>
  <c r="C99" i="22" s="1"/>
  <c r="C100" i="22" s="1"/>
  <c r="C101" i="22" s="1"/>
  <c r="C102" i="22" s="1"/>
  <c r="C103" i="22" s="1"/>
  <c r="C104" i="22" s="1"/>
  <c r="C53" i="22"/>
  <c r="C54" i="22" s="1"/>
  <c r="C55" i="22" s="1"/>
  <c r="C56" i="22" s="1"/>
  <c r="C57" i="22" s="1"/>
  <c r="C58" i="22" s="1"/>
  <c r="C59" i="22" s="1"/>
  <c r="C60" i="22" s="1"/>
  <c r="C61" i="22" s="1"/>
  <c r="C62" i="22" s="1"/>
  <c r="C63" i="22" s="1"/>
  <c r="C64" i="22" s="1"/>
  <c r="C17" i="22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B17" i="20"/>
  <c r="C18" i="21"/>
  <c r="E27" i="21"/>
  <c r="E27" i="22" s="1"/>
  <c r="E16" i="22"/>
  <c r="I16" i="21"/>
  <c r="C17" i="21"/>
  <c r="G25" i="22"/>
  <c r="I25" i="21"/>
  <c r="I19" i="22"/>
  <c r="I23" i="22"/>
  <c r="E116" i="22"/>
  <c r="G73" i="22"/>
  <c r="G116" i="22" s="1"/>
  <c r="I15" i="21"/>
  <c r="G26" i="21"/>
  <c r="G24" i="21"/>
  <c r="G18" i="21"/>
  <c r="G20" i="21"/>
  <c r="I21" i="21"/>
  <c r="G22" i="21"/>
  <c r="I23" i="21"/>
  <c r="G27" i="21"/>
  <c r="A80" i="22"/>
  <c r="A41" i="22"/>
  <c r="A83" i="22"/>
  <c r="A44" i="22"/>
  <c r="E116" i="18"/>
  <c r="G73" i="18"/>
  <c r="G116" i="18" s="1"/>
  <c r="G15" i="18"/>
  <c r="I15" i="18" s="1"/>
  <c r="I15" i="17"/>
  <c r="C93" i="18"/>
  <c r="C94" i="18" s="1"/>
  <c r="C95" i="18" s="1"/>
  <c r="C96" i="18" s="1"/>
  <c r="C97" i="18" s="1"/>
  <c r="C98" i="18" s="1"/>
  <c r="C99" i="18" s="1"/>
  <c r="C100" i="18" s="1"/>
  <c r="C101" i="18" s="1"/>
  <c r="C102" i="18" s="1"/>
  <c r="C103" i="18" s="1"/>
  <c r="C104" i="18" s="1"/>
  <c r="C53" i="18"/>
  <c r="C54" i="18" s="1"/>
  <c r="C55" i="18" s="1"/>
  <c r="C56" i="18" s="1"/>
  <c r="C57" i="18" s="1"/>
  <c r="C58" i="18" s="1"/>
  <c r="C59" i="18" s="1"/>
  <c r="C60" i="18" s="1"/>
  <c r="C61" i="18" s="1"/>
  <c r="C62" i="18" s="1"/>
  <c r="C63" i="18" s="1"/>
  <c r="C64" i="18" s="1"/>
  <c r="C17" i="18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G26" i="18"/>
  <c r="E56" i="18"/>
  <c r="I23" i="17"/>
  <c r="B17" i="16"/>
  <c r="E16" i="18"/>
  <c r="I16" i="17"/>
  <c r="G25" i="17"/>
  <c r="G27" i="17"/>
  <c r="G16" i="18"/>
  <c r="K67" i="18" s="1"/>
  <c r="E49" i="18"/>
  <c r="C73" i="18" s="1"/>
  <c r="C116" i="18" s="1"/>
  <c r="G18" i="17"/>
  <c r="G20" i="17"/>
  <c r="G22" i="17"/>
  <c r="G24" i="17"/>
  <c r="A41" i="18"/>
  <c r="A44" i="18"/>
  <c r="C18" i="13"/>
  <c r="B17" i="12"/>
  <c r="G15" i="14"/>
  <c r="I15" i="14" s="1"/>
  <c r="I15" i="13"/>
  <c r="C93" i="14"/>
  <c r="C94" i="14" s="1"/>
  <c r="C95" i="14" s="1"/>
  <c r="C96" i="14" s="1"/>
  <c r="C97" i="14" s="1"/>
  <c r="C98" i="14" s="1"/>
  <c r="C99" i="14" s="1"/>
  <c r="C100" i="14" s="1"/>
  <c r="C101" i="14" s="1"/>
  <c r="C102" i="14" s="1"/>
  <c r="C103" i="14" s="1"/>
  <c r="C104" i="14" s="1"/>
  <c r="C53" i="14"/>
  <c r="C54" i="14" s="1"/>
  <c r="C55" i="14" s="1"/>
  <c r="C56" i="14" s="1"/>
  <c r="C57" i="14" s="1"/>
  <c r="C58" i="14" s="1"/>
  <c r="C59" i="14" s="1"/>
  <c r="C60" i="14" s="1"/>
  <c r="C61" i="14" s="1"/>
  <c r="C62" i="14" s="1"/>
  <c r="C63" i="14" s="1"/>
  <c r="C64" i="14" s="1"/>
  <c r="C17" i="14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G26" i="14"/>
  <c r="C17" i="13"/>
  <c r="G17" i="14"/>
  <c r="I19" i="13"/>
  <c r="G21" i="14"/>
  <c r="E116" i="14"/>
  <c r="G73" i="14"/>
  <c r="G116" i="14" s="1"/>
  <c r="E16" i="14"/>
  <c r="I16" i="13"/>
  <c r="I23" i="14"/>
  <c r="G16" i="14"/>
  <c r="K67" i="14" s="1"/>
  <c r="E49" i="14"/>
  <c r="C73" i="14" s="1"/>
  <c r="C116" i="14" s="1"/>
  <c r="G18" i="13"/>
  <c r="G20" i="13"/>
  <c r="G22" i="13"/>
  <c r="I23" i="13"/>
  <c r="G24" i="13"/>
  <c r="A41" i="14"/>
  <c r="A44" i="14"/>
  <c r="G19" i="30" l="1"/>
  <c r="I19" i="21"/>
  <c r="G55" i="22"/>
  <c r="I17" i="21"/>
  <c r="I16" i="22"/>
  <c r="I19" i="17"/>
  <c r="I25" i="33"/>
  <c r="I21" i="33"/>
  <c r="I19" i="33"/>
  <c r="G19" i="34"/>
  <c r="I19" i="34" s="1"/>
  <c r="I15" i="34"/>
  <c r="I27" i="33"/>
  <c r="E57" i="30"/>
  <c r="I17" i="29"/>
  <c r="E61" i="18"/>
  <c r="E53" i="18"/>
  <c r="E93" i="18" s="1"/>
  <c r="I17" i="17"/>
  <c r="E57" i="18"/>
  <c r="E60" i="18"/>
  <c r="E55" i="14"/>
  <c r="E57" i="14"/>
  <c r="E53" i="14"/>
  <c r="G61" i="14"/>
  <c r="E59" i="14"/>
  <c r="G21" i="18"/>
  <c r="G59" i="18" s="1"/>
  <c r="I21" i="29"/>
  <c r="I27" i="34"/>
  <c r="G59" i="22"/>
  <c r="I59" i="22" s="1"/>
  <c r="E62" i="18"/>
  <c r="E59" i="18"/>
  <c r="E55" i="18"/>
  <c r="E58" i="18"/>
  <c r="E63" i="22"/>
  <c r="G53" i="22"/>
  <c r="E58" i="22"/>
  <c r="G21" i="34"/>
  <c r="I21" i="34" s="1"/>
  <c r="I17" i="33"/>
  <c r="E58" i="14"/>
  <c r="G63" i="14"/>
  <c r="E63" i="18"/>
  <c r="E61" i="22"/>
  <c r="E59" i="22"/>
  <c r="G61" i="22"/>
  <c r="G57" i="22"/>
  <c r="G54" i="22"/>
  <c r="E28" i="25"/>
  <c r="E30" i="25" s="1"/>
  <c r="E55" i="34"/>
  <c r="I25" i="34"/>
  <c r="G63" i="34"/>
  <c r="I17" i="34"/>
  <c r="G55" i="34"/>
  <c r="E62" i="34"/>
  <c r="E58" i="34"/>
  <c r="E28" i="34"/>
  <c r="E30" i="34" s="1"/>
  <c r="E54" i="34"/>
  <c r="G26" i="34"/>
  <c r="I26" i="33"/>
  <c r="E63" i="34"/>
  <c r="G24" i="34"/>
  <c r="I24" i="33"/>
  <c r="E61" i="34"/>
  <c r="G22" i="34"/>
  <c r="I22" i="33"/>
  <c r="E59" i="34"/>
  <c r="G20" i="34"/>
  <c r="I20" i="33"/>
  <c r="E57" i="34"/>
  <c r="G18" i="34"/>
  <c r="I18" i="33"/>
  <c r="E53" i="34"/>
  <c r="C19" i="33"/>
  <c r="B18" i="32"/>
  <c r="E60" i="34"/>
  <c r="I23" i="34"/>
  <c r="G61" i="34"/>
  <c r="G57" i="34"/>
  <c r="G54" i="34"/>
  <c r="I54" i="34" s="1"/>
  <c r="G53" i="34"/>
  <c r="I16" i="34"/>
  <c r="C53" i="34"/>
  <c r="C54" i="34" s="1"/>
  <c r="C55" i="34" s="1"/>
  <c r="C56" i="34" s="1"/>
  <c r="C57" i="34" s="1"/>
  <c r="C58" i="34" s="1"/>
  <c r="C59" i="34" s="1"/>
  <c r="C60" i="34" s="1"/>
  <c r="C61" i="34" s="1"/>
  <c r="C62" i="34" s="1"/>
  <c r="C63" i="34" s="1"/>
  <c r="C64" i="34" s="1"/>
  <c r="C93" i="34"/>
  <c r="C94" i="34" s="1"/>
  <c r="C95" i="34" s="1"/>
  <c r="C96" i="34" s="1"/>
  <c r="C97" i="34" s="1"/>
  <c r="C98" i="34" s="1"/>
  <c r="C99" i="34" s="1"/>
  <c r="C100" i="34" s="1"/>
  <c r="C101" i="34" s="1"/>
  <c r="C102" i="34" s="1"/>
  <c r="C103" i="34" s="1"/>
  <c r="C104" i="34" s="1"/>
  <c r="C17" i="34"/>
  <c r="C18" i="34" s="1"/>
  <c r="C19" i="34" s="1"/>
  <c r="C20" i="34" s="1"/>
  <c r="C21" i="34" s="1"/>
  <c r="C22" i="34" s="1"/>
  <c r="C23" i="34" s="1"/>
  <c r="C24" i="34" s="1"/>
  <c r="C25" i="34" s="1"/>
  <c r="C26" i="34" s="1"/>
  <c r="C27" i="34" s="1"/>
  <c r="E64" i="34"/>
  <c r="E56" i="34"/>
  <c r="G28" i="33"/>
  <c r="G30" i="33" s="1"/>
  <c r="G24" i="30"/>
  <c r="G27" i="30"/>
  <c r="G54" i="30"/>
  <c r="I16" i="30"/>
  <c r="G53" i="30"/>
  <c r="C19" i="29"/>
  <c r="B18" i="28"/>
  <c r="I19" i="30"/>
  <c r="G57" i="30"/>
  <c r="G64" i="30"/>
  <c r="E22" i="29"/>
  <c r="I22" i="29" s="1"/>
  <c r="E58" i="30"/>
  <c r="G63" i="30"/>
  <c r="G59" i="30"/>
  <c r="E59" i="30"/>
  <c r="G22" i="30"/>
  <c r="G20" i="30"/>
  <c r="I20" i="29"/>
  <c r="G18" i="30"/>
  <c r="I18" i="29"/>
  <c r="E55" i="30"/>
  <c r="G28" i="29"/>
  <c r="G30" i="29" s="1"/>
  <c r="E53" i="30"/>
  <c r="G61" i="30"/>
  <c r="G55" i="30"/>
  <c r="E54" i="30"/>
  <c r="E56" i="30"/>
  <c r="E63" i="26"/>
  <c r="E61" i="26"/>
  <c r="E59" i="26"/>
  <c r="G18" i="26"/>
  <c r="I18" i="25"/>
  <c r="E53" i="26"/>
  <c r="G27" i="26"/>
  <c r="I27" i="26" s="1"/>
  <c r="I27" i="25"/>
  <c r="G23" i="26"/>
  <c r="I23" i="25"/>
  <c r="G19" i="26"/>
  <c r="I19" i="25"/>
  <c r="B18" i="24"/>
  <c r="C19" i="25"/>
  <c r="E60" i="26"/>
  <c r="E56" i="26"/>
  <c r="G64" i="26"/>
  <c r="I26" i="26"/>
  <c r="I15" i="26"/>
  <c r="E55" i="26"/>
  <c r="G24" i="26"/>
  <c r="I24" i="25"/>
  <c r="G22" i="26"/>
  <c r="I22" i="25"/>
  <c r="G20" i="26"/>
  <c r="I20" i="25"/>
  <c r="G54" i="26"/>
  <c r="G53" i="26"/>
  <c r="I16" i="26"/>
  <c r="G28" i="25"/>
  <c r="G30" i="25" s="1"/>
  <c r="I25" i="25"/>
  <c r="G25" i="26"/>
  <c r="I21" i="25"/>
  <c r="G21" i="26"/>
  <c r="G17" i="26"/>
  <c r="I17" i="25"/>
  <c r="E57" i="26"/>
  <c r="E62" i="26"/>
  <c r="E58" i="26"/>
  <c r="E54" i="26"/>
  <c r="E64" i="26"/>
  <c r="G27" i="22"/>
  <c r="I27" i="22" s="1"/>
  <c r="I27" i="21"/>
  <c r="G22" i="22"/>
  <c r="I22" i="21"/>
  <c r="G20" i="22"/>
  <c r="I20" i="21"/>
  <c r="I18" i="21"/>
  <c r="G18" i="22"/>
  <c r="I24" i="21"/>
  <c r="G24" i="22"/>
  <c r="G63" i="22"/>
  <c r="I63" i="22" s="1"/>
  <c r="I25" i="22"/>
  <c r="E28" i="21"/>
  <c r="E30" i="21" s="1"/>
  <c r="B18" i="20"/>
  <c r="C19" i="21"/>
  <c r="G93" i="22"/>
  <c r="G28" i="21"/>
  <c r="G30" i="21" s="1"/>
  <c r="G26" i="22"/>
  <c r="I26" i="21"/>
  <c r="E60" i="22"/>
  <c r="E56" i="22"/>
  <c r="E54" i="22"/>
  <c r="E28" i="22"/>
  <c r="E30" i="22" s="1"/>
  <c r="E62" i="22"/>
  <c r="E57" i="22"/>
  <c r="E64" i="22"/>
  <c r="E55" i="22"/>
  <c r="E53" i="22"/>
  <c r="I61" i="22"/>
  <c r="G20" i="18"/>
  <c r="I20" i="17"/>
  <c r="G28" i="17"/>
  <c r="G30" i="17" s="1"/>
  <c r="G25" i="18"/>
  <c r="I25" i="17"/>
  <c r="E54" i="18"/>
  <c r="G61" i="18"/>
  <c r="I61" i="18" s="1"/>
  <c r="I23" i="18"/>
  <c r="G22" i="18"/>
  <c r="I22" i="17"/>
  <c r="G18" i="18"/>
  <c r="I18" i="17"/>
  <c r="G53" i="18"/>
  <c r="I16" i="18"/>
  <c r="G54" i="18"/>
  <c r="I54" i="18" s="1"/>
  <c r="G27" i="18"/>
  <c r="G55" i="18"/>
  <c r="I17" i="18"/>
  <c r="G64" i="18"/>
  <c r="E26" i="17"/>
  <c r="E27" i="17"/>
  <c r="E27" i="18" s="1"/>
  <c r="G24" i="18"/>
  <c r="I24" i="17"/>
  <c r="C19" i="17"/>
  <c r="B18" i="16"/>
  <c r="G57" i="18"/>
  <c r="I57" i="18" s="1"/>
  <c r="I19" i="18"/>
  <c r="G20" i="14"/>
  <c r="I20" i="13"/>
  <c r="E54" i="14"/>
  <c r="E24" i="13"/>
  <c r="I24" i="13" s="1"/>
  <c r="G57" i="14"/>
  <c r="I57" i="14" s="1"/>
  <c r="I19" i="14"/>
  <c r="G28" i="13"/>
  <c r="G30" i="13" s="1"/>
  <c r="G55" i="14"/>
  <c r="I55" i="14" s="1"/>
  <c r="I17" i="14"/>
  <c r="B18" i="12"/>
  <c r="C19" i="13"/>
  <c r="G24" i="14"/>
  <c r="G22" i="14"/>
  <c r="I22" i="13"/>
  <c r="G18" i="14"/>
  <c r="I18" i="13"/>
  <c r="G53" i="14"/>
  <c r="I16" i="14"/>
  <c r="G54" i="14"/>
  <c r="E93" i="14"/>
  <c r="E60" i="14"/>
  <c r="G59" i="14"/>
  <c r="I21" i="14"/>
  <c r="E56" i="14"/>
  <c r="G64" i="14"/>
  <c r="E61" i="14"/>
  <c r="I55" i="22" l="1"/>
  <c r="I59" i="18"/>
  <c r="I59" i="14"/>
  <c r="I54" i="22"/>
  <c r="I28" i="33"/>
  <c r="I30" i="33" s="1"/>
  <c r="I33" i="33" s="1"/>
  <c r="G59" i="34"/>
  <c r="I59" i="34" s="1"/>
  <c r="G28" i="34"/>
  <c r="G30" i="34" s="1"/>
  <c r="I57" i="30"/>
  <c r="I55" i="30"/>
  <c r="I57" i="22"/>
  <c r="I21" i="18"/>
  <c r="I61" i="14"/>
  <c r="I54" i="14"/>
  <c r="I55" i="18"/>
  <c r="G28" i="26"/>
  <c r="G30" i="26" s="1"/>
  <c r="I59" i="30"/>
  <c r="I55" i="34"/>
  <c r="G28" i="18"/>
  <c r="G30" i="18" s="1"/>
  <c r="I28" i="21"/>
  <c r="I30" i="21" s="1"/>
  <c r="I33" i="21" s="1"/>
  <c r="I28" i="25"/>
  <c r="I30" i="25" s="1"/>
  <c r="I33" i="25" s="1"/>
  <c r="G28" i="30"/>
  <c r="G30" i="30" s="1"/>
  <c r="I57" i="34"/>
  <c r="I61" i="34"/>
  <c r="C20" i="33"/>
  <c r="B19" i="32"/>
  <c r="G56" i="34"/>
  <c r="I56" i="34" s="1"/>
  <c r="I18" i="34"/>
  <c r="G58" i="34"/>
  <c r="I58" i="34" s="1"/>
  <c r="I20" i="34"/>
  <c r="G60" i="34"/>
  <c r="I60" i="34" s="1"/>
  <c r="I22" i="34"/>
  <c r="G62" i="34"/>
  <c r="I62" i="34" s="1"/>
  <c r="I24" i="34"/>
  <c r="G64" i="34"/>
  <c r="I64" i="34" s="1"/>
  <c r="I26" i="34"/>
  <c r="I63" i="34"/>
  <c r="I53" i="34"/>
  <c r="G93" i="34"/>
  <c r="E93" i="34"/>
  <c r="E65" i="34"/>
  <c r="E23" i="29"/>
  <c r="C20" i="29"/>
  <c r="B19" i="28"/>
  <c r="E93" i="30"/>
  <c r="G56" i="30"/>
  <c r="I56" i="30" s="1"/>
  <c r="I18" i="30"/>
  <c r="G58" i="30"/>
  <c r="I58" i="30" s="1"/>
  <c r="I20" i="30"/>
  <c r="G60" i="30"/>
  <c r="E22" i="30"/>
  <c r="G93" i="30"/>
  <c r="I53" i="30"/>
  <c r="I54" i="30"/>
  <c r="G62" i="30"/>
  <c r="I21" i="26"/>
  <c r="G59" i="26"/>
  <c r="I59" i="26" s="1"/>
  <c r="G63" i="26"/>
  <c r="I63" i="26" s="1"/>
  <c r="I25" i="26"/>
  <c r="I54" i="26"/>
  <c r="G58" i="26"/>
  <c r="I58" i="26" s="1"/>
  <c r="I20" i="26"/>
  <c r="G60" i="26"/>
  <c r="I60" i="26" s="1"/>
  <c r="I22" i="26"/>
  <c r="G62" i="26"/>
  <c r="I62" i="26" s="1"/>
  <c r="I24" i="26"/>
  <c r="I64" i="26"/>
  <c r="C20" i="25"/>
  <c r="B19" i="24"/>
  <c r="E93" i="26"/>
  <c r="E65" i="26"/>
  <c r="G56" i="26"/>
  <c r="I56" i="26" s="1"/>
  <c r="I18" i="26"/>
  <c r="G55" i="26"/>
  <c r="I55" i="26" s="1"/>
  <c r="I17" i="26"/>
  <c r="G93" i="26"/>
  <c r="I53" i="26"/>
  <c r="G57" i="26"/>
  <c r="I57" i="26" s="1"/>
  <c r="I19" i="26"/>
  <c r="I23" i="26"/>
  <c r="G61" i="26"/>
  <c r="I61" i="26" s="1"/>
  <c r="E93" i="22"/>
  <c r="I93" i="22" s="1"/>
  <c r="E65" i="22"/>
  <c r="G94" i="22"/>
  <c r="C20" i="21"/>
  <c r="B19" i="20"/>
  <c r="G64" i="22"/>
  <c r="I64" i="22" s="1"/>
  <c r="I26" i="22"/>
  <c r="I53" i="22"/>
  <c r="I20" i="22"/>
  <c r="G58" i="22"/>
  <c r="I58" i="22" s="1"/>
  <c r="G60" i="22"/>
  <c r="I60" i="22" s="1"/>
  <c r="I22" i="22"/>
  <c r="G62" i="22"/>
  <c r="I62" i="22" s="1"/>
  <c r="I24" i="22"/>
  <c r="I18" i="22"/>
  <c r="G56" i="22"/>
  <c r="G28" i="22"/>
  <c r="G30" i="22" s="1"/>
  <c r="I27" i="17"/>
  <c r="C20" i="17"/>
  <c r="B19" i="16"/>
  <c r="G62" i="18"/>
  <c r="I62" i="18" s="1"/>
  <c r="I24" i="18"/>
  <c r="E26" i="18"/>
  <c r="E28" i="17"/>
  <c r="E30" i="17" s="1"/>
  <c r="I26" i="17"/>
  <c r="E94" i="18"/>
  <c r="E95" i="18" s="1"/>
  <c r="E96" i="18" s="1"/>
  <c r="E97" i="18" s="1"/>
  <c r="E98" i="18" s="1"/>
  <c r="E99" i="18" s="1"/>
  <c r="E100" i="18" s="1"/>
  <c r="E101" i="18" s="1"/>
  <c r="E102" i="18" s="1"/>
  <c r="E103" i="18" s="1"/>
  <c r="I27" i="18"/>
  <c r="G93" i="18"/>
  <c r="I53" i="18"/>
  <c r="I18" i="18"/>
  <c r="G56" i="18"/>
  <c r="I56" i="18" s="1"/>
  <c r="G60" i="18"/>
  <c r="I60" i="18" s="1"/>
  <c r="I22" i="18"/>
  <c r="G63" i="18"/>
  <c r="I63" i="18" s="1"/>
  <c r="I25" i="18"/>
  <c r="I20" i="18"/>
  <c r="G58" i="18"/>
  <c r="I58" i="18" s="1"/>
  <c r="E94" i="14"/>
  <c r="E95" i="14" s="1"/>
  <c r="E96" i="14" s="1"/>
  <c r="E97" i="14" s="1"/>
  <c r="E98" i="14" s="1"/>
  <c r="E99" i="14" s="1"/>
  <c r="E100" i="14" s="1"/>
  <c r="E101" i="14" s="1"/>
  <c r="G93" i="14"/>
  <c r="I53" i="14"/>
  <c r="I18" i="14"/>
  <c r="G56" i="14"/>
  <c r="I56" i="14" s="1"/>
  <c r="G60" i="14"/>
  <c r="I60" i="14" s="1"/>
  <c r="I22" i="14"/>
  <c r="G62" i="14"/>
  <c r="C20" i="13"/>
  <c r="B19" i="12"/>
  <c r="E25" i="13"/>
  <c r="G28" i="14"/>
  <c r="G30" i="14" s="1"/>
  <c r="E24" i="14"/>
  <c r="I24" i="14" s="1"/>
  <c r="I20" i="14"/>
  <c r="G58" i="14"/>
  <c r="I58" i="14" s="1"/>
  <c r="I28" i="34" l="1"/>
  <c r="I30" i="34" s="1"/>
  <c r="I33" i="34" s="1"/>
  <c r="L23" i="2" s="1"/>
  <c r="G65" i="30"/>
  <c r="I28" i="17"/>
  <c r="I30" i="17" s="1"/>
  <c r="I33" i="17" s="1"/>
  <c r="I28" i="26"/>
  <c r="I30" i="26" s="1"/>
  <c r="I33" i="26" s="1"/>
  <c r="L17" i="2" s="1"/>
  <c r="I65" i="34"/>
  <c r="I67" i="34" s="1"/>
  <c r="R66" i="2" s="1"/>
  <c r="E94" i="34"/>
  <c r="E95" i="34" s="1"/>
  <c r="E96" i="34" s="1"/>
  <c r="E97" i="34" s="1"/>
  <c r="E98" i="34" s="1"/>
  <c r="E99" i="34" s="1"/>
  <c r="E100" i="34" s="1"/>
  <c r="E101" i="34" s="1"/>
  <c r="E102" i="34" s="1"/>
  <c r="E103" i="34" s="1"/>
  <c r="E104" i="34" s="1"/>
  <c r="E105" i="34" s="1"/>
  <c r="E107" i="34" s="1"/>
  <c r="G94" i="34"/>
  <c r="I93" i="34"/>
  <c r="G65" i="34"/>
  <c r="C21" i="33"/>
  <c r="B20" i="32"/>
  <c r="E60" i="30"/>
  <c r="G94" i="30"/>
  <c r="I93" i="30"/>
  <c r="I22" i="30"/>
  <c r="E94" i="30"/>
  <c r="E95" i="30" s="1"/>
  <c r="E96" i="30" s="1"/>
  <c r="E97" i="30" s="1"/>
  <c r="E98" i="30" s="1"/>
  <c r="E99" i="30" s="1"/>
  <c r="B20" i="28"/>
  <c r="C21" i="29"/>
  <c r="E23" i="30"/>
  <c r="I23" i="29"/>
  <c r="E24" i="29"/>
  <c r="I65" i="26"/>
  <c r="I67" i="26" s="1"/>
  <c r="G65" i="26"/>
  <c r="B20" i="24"/>
  <c r="C21" i="25"/>
  <c r="G94" i="26"/>
  <c r="I93" i="26"/>
  <c r="E94" i="26"/>
  <c r="E95" i="26" s="1"/>
  <c r="E96" i="26" s="1"/>
  <c r="E97" i="26" s="1"/>
  <c r="E98" i="26" s="1"/>
  <c r="E99" i="26" s="1"/>
  <c r="E100" i="26" s="1"/>
  <c r="E101" i="26" s="1"/>
  <c r="E102" i="26" s="1"/>
  <c r="E103" i="26" s="1"/>
  <c r="E104" i="26" s="1"/>
  <c r="I28" i="22"/>
  <c r="I30" i="22" s="1"/>
  <c r="I33" i="22" s="1"/>
  <c r="L16" i="2" s="1"/>
  <c r="C21" i="21"/>
  <c r="B20" i="20"/>
  <c r="G95" i="22"/>
  <c r="I56" i="22"/>
  <c r="I65" i="22" s="1"/>
  <c r="I67" i="22" s="1"/>
  <c r="G65" i="22"/>
  <c r="E94" i="22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G94" i="18"/>
  <c r="I93" i="18"/>
  <c r="C21" i="17"/>
  <c r="B20" i="16"/>
  <c r="G65" i="18"/>
  <c r="E64" i="18"/>
  <c r="E28" i="18"/>
  <c r="E30" i="18" s="1"/>
  <c r="I26" i="18"/>
  <c r="I28" i="18" s="1"/>
  <c r="I30" i="18" s="1"/>
  <c r="I33" i="18" s="1"/>
  <c r="L15" i="2" s="1"/>
  <c r="E25" i="14"/>
  <c r="I25" i="13"/>
  <c r="G65" i="14"/>
  <c r="E62" i="14"/>
  <c r="E102" i="14" s="1"/>
  <c r="E26" i="13"/>
  <c r="E27" i="13"/>
  <c r="B20" i="12"/>
  <c r="C21" i="13"/>
  <c r="G94" i="14"/>
  <c r="I93" i="14"/>
  <c r="I62" i="14" l="1"/>
  <c r="R60" i="2"/>
  <c r="M67" i="26"/>
  <c r="M64" i="26" s="1"/>
  <c r="M67" i="34"/>
  <c r="M64" i="34" s="1"/>
  <c r="R59" i="2"/>
  <c r="M67" i="22"/>
  <c r="M63" i="22" s="1"/>
  <c r="E105" i="22"/>
  <c r="E107" i="22" s="1"/>
  <c r="C22" i="33"/>
  <c r="B21" i="32"/>
  <c r="G95" i="34"/>
  <c r="I94" i="34"/>
  <c r="E25" i="29"/>
  <c r="I60" i="30"/>
  <c r="E61" i="30"/>
  <c r="I61" i="30" s="1"/>
  <c r="I23" i="30"/>
  <c r="C22" i="29"/>
  <c r="B21" i="28"/>
  <c r="E100" i="30"/>
  <c r="G95" i="30"/>
  <c r="I94" i="30"/>
  <c r="E24" i="30"/>
  <c r="I24" i="29"/>
  <c r="E105" i="26"/>
  <c r="E107" i="26" s="1"/>
  <c r="C22" i="25"/>
  <c r="B21" i="24"/>
  <c r="G95" i="26"/>
  <c r="I94" i="26"/>
  <c r="I94" i="22"/>
  <c r="B21" i="20"/>
  <c r="C22" i="21"/>
  <c r="G96" i="22"/>
  <c r="I95" i="22"/>
  <c r="C22" i="17"/>
  <c r="B21" i="16"/>
  <c r="E65" i="18"/>
  <c r="I64" i="18"/>
  <c r="E104" i="18"/>
  <c r="E105" i="18" s="1"/>
  <c r="E107" i="18" s="1"/>
  <c r="G95" i="18"/>
  <c r="I94" i="18"/>
  <c r="G95" i="14"/>
  <c r="I94" i="14"/>
  <c r="C22" i="13"/>
  <c r="B21" i="12"/>
  <c r="E27" i="14"/>
  <c r="I27" i="14" s="1"/>
  <c r="I27" i="13"/>
  <c r="E63" i="14"/>
  <c r="I63" i="14" s="1"/>
  <c r="I25" i="14"/>
  <c r="E26" i="14"/>
  <c r="I26" i="13"/>
  <c r="I28" i="13" s="1"/>
  <c r="I30" i="13" s="1"/>
  <c r="I33" i="13" s="1"/>
  <c r="E28" i="13"/>
  <c r="E30" i="13" s="1"/>
  <c r="M58" i="34" l="1"/>
  <c r="M60" i="34"/>
  <c r="M55" i="34"/>
  <c r="M61" i="34"/>
  <c r="M62" i="34"/>
  <c r="M55" i="22"/>
  <c r="M53" i="22"/>
  <c r="M93" i="22" s="1"/>
  <c r="M60" i="22"/>
  <c r="M57" i="22"/>
  <c r="M58" i="22"/>
  <c r="M56" i="22"/>
  <c r="M61" i="22"/>
  <c r="M63" i="34"/>
  <c r="M62" i="22"/>
  <c r="M55" i="26"/>
  <c r="M63" i="26"/>
  <c r="M57" i="26"/>
  <c r="M62" i="26"/>
  <c r="M64" i="22"/>
  <c r="M59" i="22"/>
  <c r="M54" i="22"/>
  <c r="M59" i="26"/>
  <c r="M54" i="26"/>
  <c r="E101" i="30"/>
  <c r="M61" i="26"/>
  <c r="M60" i="26"/>
  <c r="M57" i="34"/>
  <c r="M56" i="26"/>
  <c r="M59" i="34"/>
  <c r="M53" i="26"/>
  <c r="M58" i="26"/>
  <c r="M56" i="34"/>
  <c r="M53" i="34"/>
  <c r="M54" i="34"/>
  <c r="I65" i="18"/>
  <c r="I67" i="18" s="1"/>
  <c r="G96" i="34"/>
  <c r="I95" i="34"/>
  <c r="C23" i="33"/>
  <c r="B22" i="32"/>
  <c r="E62" i="30"/>
  <c r="I62" i="30" s="1"/>
  <c r="I24" i="30"/>
  <c r="G96" i="30"/>
  <c r="I95" i="30"/>
  <c r="E25" i="30"/>
  <c r="I25" i="29"/>
  <c r="B22" i="28"/>
  <c r="C23" i="29"/>
  <c r="E26" i="29"/>
  <c r="E27" i="29"/>
  <c r="B22" i="24"/>
  <c r="C23" i="25"/>
  <c r="G96" i="26"/>
  <c r="I95" i="26"/>
  <c r="G97" i="22"/>
  <c r="I96" i="22"/>
  <c r="B22" i="20"/>
  <c r="C23" i="21"/>
  <c r="C23" i="17"/>
  <c r="B22" i="16"/>
  <c r="G96" i="18"/>
  <c r="I95" i="18"/>
  <c r="E64" i="14"/>
  <c r="I26" i="14"/>
  <c r="I28" i="14" s="1"/>
  <c r="I30" i="14" s="1"/>
  <c r="I33" i="14" s="1"/>
  <c r="L14" i="2" s="1"/>
  <c r="E28" i="14"/>
  <c r="E30" i="14" s="1"/>
  <c r="B22" i="12"/>
  <c r="C23" i="13"/>
  <c r="G96" i="14"/>
  <c r="I95" i="14"/>
  <c r="E103" i="14"/>
  <c r="E102" i="30" l="1"/>
  <c r="M65" i="22"/>
  <c r="M94" i="22"/>
  <c r="M95" i="22" s="1"/>
  <c r="M96" i="22" s="1"/>
  <c r="M97" i="22" s="1"/>
  <c r="M98" i="22" s="1"/>
  <c r="M99" i="22" s="1"/>
  <c r="M100" i="22" s="1"/>
  <c r="M101" i="22" s="1"/>
  <c r="M102" i="22" s="1"/>
  <c r="M103" i="22" s="1"/>
  <c r="M104" i="22" s="1"/>
  <c r="M65" i="34"/>
  <c r="M93" i="26"/>
  <c r="M65" i="26"/>
  <c r="M93" i="34"/>
  <c r="R58" i="2"/>
  <c r="M67" i="18"/>
  <c r="M64" i="18" s="1"/>
  <c r="C24" i="33"/>
  <c r="B23" i="32"/>
  <c r="G97" i="34"/>
  <c r="I96" i="34"/>
  <c r="E26" i="30"/>
  <c r="I26" i="29"/>
  <c r="E28" i="29"/>
  <c r="E30" i="29" s="1"/>
  <c r="C24" i="29"/>
  <c r="B23" i="28"/>
  <c r="E63" i="30"/>
  <c r="E103" i="30" s="1"/>
  <c r="I25" i="30"/>
  <c r="G97" i="30"/>
  <c r="I96" i="30"/>
  <c r="E27" i="30"/>
  <c r="I27" i="30" s="1"/>
  <c r="I27" i="29"/>
  <c r="G97" i="26"/>
  <c r="I96" i="26"/>
  <c r="C24" i="25"/>
  <c r="B23" i="24"/>
  <c r="B23" i="20"/>
  <c r="C24" i="21"/>
  <c r="G98" i="22"/>
  <c r="I97" i="22"/>
  <c r="C24" i="17"/>
  <c r="B23" i="16"/>
  <c r="G97" i="18"/>
  <c r="I96" i="18"/>
  <c r="E104" i="14"/>
  <c r="E105" i="14" s="1"/>
  <c r="E107" i="14" s="1"/>
  <c r="G97" i="14"/>
  <c r="I96" i="14"/>
  <c r="C24" i="13"/>
  <c r="B23" i="12"/>
  <c r="I64" i="14"/>
  <c r="E65" i="14"/>
  <c r="I28" i="29" l="1"/>
  <c r="I30" i="29" s="1"/>
  <c r="I33" i="29" s="1"/>
  <c r="M105" i="22"/>
  <c r="M107" i="22" s="1"/>
  <c r="M110" i="22" s="1"/>
  <c r="T59" i="2" s="1"/>
  <c r="M60" i="18"/>
  <c r="M55" i="18"/>
  <c r="M61" i="18"/>
  <c r="M63" i="18"/>
  <c r="M53" i="18"/>
  <c r="M93" i="18" s="1"/>
  <c r="I65" i="14"/>
  <c r="I67" i="14" s="1"/>
  <c r="M94" i="34"/>
  <c r="M95" i="34" s="1"/>
  <c r="M96" i="34" s="1"/>
  <c r="M97" i="34" s="1"/>
  <c r="M98" i="34" s="1"/>
  <c r="M99" i="34" s="1"/>
  <c r="M100" i="34" s="1"/>
  <c r="M101" i="34" s="1"/>
  <c r="M102" i="34" s="1"/>
  <c r="M103" i="34" s="1"/>
  <c r="M104" i="34" s="1"/>
  <c r="M94" i="26"/>
  <c r="M95" i="26" s="1"/>
  <c r="M96" i="26" s="1"/>
  <c r="M97" i="26" s="1"/>
  <c r="M98" i="26" s="1"/>
  <c r="M99" i="26" s="1"/>
  <c r="M100" i="26" s="1"/>
  <c r="M101" i="26" s="1"/>
  <c r="M102" i="26" s="1"/>
  <c r="M103" i="26" s="1"/>
  <c r="M104" i="26" s="1"/>
  <c r="M56" i="18"/>
  <c r="M62" i="18"/>
  <c r="M58" i="18"/>
  <c r="M54" i="18"/>
  <c r="M59" i="18"/>
  <c r="M57" i="18"/>
  <c r="G98" i="34"/>
  <c r="I97" i="34"/>
  <c r="C25" i="33"/>
  <c r="B24" i="32"/>
  <c r="G98" i="30"/>
  <c r="I97" i="30"/>
  <c r="I63" i="30"/>
  <c r="E64" i="30"/>
  <c r="I64" i="30" s="1"/>
  <c r="I26" i="30"/>
  <c r="E28" i="30"/>
  <c r="E30" i="30" s="1"/>
  <c r="I28" i="30"/>
  <c r="I30" i="30" s="1"/>
  <c r="I33" i="30" s="1"/>
  <c r="L22" i="2" s="1"/>
  <c r="B24" i="28"/>
  <c r="C25" i="29"/>
  <c r="B24" i="24"/>
  <c r="C25" i="25"/>
  <c r="G98" i="26"/>
  <c r="I97" i="26"/>
  <c r="G99" i="22"/>
  <c r="I98" i="22"/>
  <c r="C25" i="21"/>
  <c r="B24" i="20"/>
  <c r="G98" i="18"/>
  <c r="I97" i="18"/>
  <c r="C25" i="17"/>
  <c r="B24" i="16"/>
  <c r="B24" i="12"/>
  <c r="C25" i="13"/>
  <c r="G98" i="14"/>
  <c r="I97" i="14"/>
  <c r="M105" i="26" l="1"/>
  <c r="M107" i="26" s="1"/>
  <c r="M110" i="26" s="1"/>
  <c r="T60" i="2" s="1"/>
  <c r="M65" i="18"/>
  <c r="M105" i="34"/>
  <c r="M107" i="34" s="1"/>
  <c r="M110" i="34" s="1"/>
  <c r="T66" i="2" s="1"/>
  <c r="I65" i="30"/>
  <c r="I67" i="30" s="1"/>
  <c r="R57" i="2"/>
  <c r="M67" i="14"/>
  <c r="M64" i="14" s="1"/>
  <c r="M94" i="18"/>
  <c r="M95" i="18" s="1"/>
  <c r="M96" i="18" s="1"/>
  <c r="M97" i="18" s="1"/>
  <c r="M98" i="18" s="1"/>
  <c r="M99" i="18" s="1"/>
  <c r="M100" i="18" s="1"/>
  <c r="M101" i="18" s="1"/>
  <c r="M102" i="18" s="1"/>
  <c r="M103" i="18" s="1"/>
  <c r="M104" i="18" s="1"/>
  <c r="C26" i="33"/>
  <c r="B25" i="32"/>
  <c r="G99" i="34"/>
  <c r="I98" i="34"/>
  <c r="C26" i="29"/>
  <c r="B25" i="28"/>
  <c r="E65" i="30"/>
  <c r="E104" i="30"/>
  <c r="E105" i="30" s="1"/>
  <c r="E107" i="30" s="1"/>
  <c r="G99" i="30"/>
  <c r="I98" i="30"/>
  <c r="I98" i="26"/>
  <c r="G99" i="26"/>
  <c r="C26" i="25"/>
  <c r="B25" i="24"/>
  <c r="C26" i="21"/>
  <c r="B25" i="20"/>
  <c r="G100" i="22"/>
  <c r="I99" i="22"/>
  <c r="C26" i="17"/>
  <c r="B25" i="16"/>
  <c r="G99" i="18"/>
  <c r="I98" i="18"/>
  <c r="G99" i="14"/>
  <c r="I98" i="14"/>
  <c r="C26" i="13"/>
  <c r="B25" i="12"/>
  <c r="M55" i="14" l="1"/>
  <c r="M61" i="14"/>
  <c r="M63" i="14"/>
  <c r="M54" i="14"/>
  <c r="M53" i="14"/>
  <c r="M93" i="14" s="1"/>
  <c r="M56" i="14"/>
  <c r="M60" i="14"/>
  <c r="M62" i="14"/>
  <c r="M57" i="14"/>
  <c r="M58" i="14"/>
  <c r="M59" i="14"/>
  <c r="R65" i="2"/>
  <c r="M67" i="30"/>
  <c r="M57" i="30" s="1"/>
  <c r="M105" i="18"/>
  <c r="M107" i="18" s="1"/>
  <c r="M110" i="18" s="1"/>
  <c r="T58" i="2" s="1"/>
  <c r="G100" i="34"/>
  <c r="I99" i="34"/>
  <c r="C27" i="33"/>
  <c r="G100" i="30"/>
  <c r="I99" i="30"/>
  <c r="C27" i="29"/>
  <c r="G100" i="26"/>
  <c r="I99" i="26"/>
  <c r="C27" i="25"/>
  <c r="G101" i="22"/>
  <c r="I100" i="22"/>
  <c r="C27" i="21"/>
  <c r="G100" i="18"/>
  <c r="I99" i="18"/>
  <c r="C27" i="17"/>
  <c r="C27" i="13"/>
  <c r="G100" i="14"/>
  <c r="I99" i="14"/>
  <c r="M63" i="30" l="1"/>
  <c r="M61" i="30"/>
  <c r="M64" i="30"/>
  <c r="M65" i="14"/>
  <c r="M59" i="30"/>
  <c r="M62" i="30"/>
  <c r="M54" i="30"/>
  <c r="M60" i="30"/>
  <c r="M58" i="30"/>
  <c r="M53" i="30"/>
  <c r="M56" i="30"/>
  <c r="M55" i="30"/>
  <c r="M94" i="14"/>
  <c r="M95" i="14" s="1"/>
  <c r="M96" i="14" s="1"/>
  <c r="M97" i="14" s="1"/>
  <c r="M98" i="14" s="1"/>
  <c r="M99" i="14" s="1"/>
  <c r="M100" i="14" s="1"/>
  <c r="M101" i="14" s="1"/>
  <c r="M102" i="14" s="1"/>
  <c r="M103" i="14" s="1"/>
  <c r="M104" i="14" s="1"/>
  <c r="G101" i="34"/>
  <c r="I100" i="34"/>
  <c r="G101" i="30"/>
  <c r="I100" i="30"/>
  <c r="G101" i="26"/>
  <c r="I100" i="26"/>
  <c r="G102" i="22"/>
  <c r="I101" i="22"/>
  <c r="G101" i="18"/>
  <c r="I100" i="18"/>
  <c r="G101" i="14"/>
  <c r="I100" i="14"/>
  <c r="M105" i="14" l="1"/>
  <c r="M107" i="14" s="1"/>
  <c r="M110" i="14" s="1"/>
  <c r="T57" i="2" s="1"/>
  <c r="M93" i="30"/>
  <c r="M65" i="30"/>
  <c r="G102" i="34"/>
  <c r="I101" i="34"/>
  <c r="G102" i="30"/>
  <c r="I101" i="30"/>
  <c r="G102" i="26"/>
  <c r="I101" i="26"/>
  <c r="G103" i="22"/>
  <c r="I102" i="22"/>
  <c r="G102" i="18"/>
  <c r="I101" i="18"/>
  <c r="G102" i="14"/>
  <c r="I101" i="14"/>
  <c r="M94" i="30" l="1"/>
  <c r="M95" i="30" s="1"/>
  <c r="M96" i="30" s="1"/>
  <c r="M97" i="30" s="1"/>
  <c r="M98" i="30" s="1"/>
  <c r="M99" i="30" s="1"/>
  <c r="M100" i="30" s="1"/>
  <c r="M101" i="30" s="1"/>
  <c r="M102" i="30" s="1"/>
  <c r="M103" i="30" s="1"/>
  <c r="M104" i="30" s="1"/>
  <c r="G103" i="34"/>
  <c r="I102" i="34"/>
  <c r="G103" i="30"/>
  <c r="I102" i="30"/>
  <c r="G103" i="26"/>
  <c r="I102" i="26"/>
  <c r="G104" i="22"/>
  <c r="I103" i="22"/>
  <c r="G103" i="18"/>
  <c r="I102" i="18"/>
  <c r="G103" i="14"/>
  <c r="I102" i="14"/>
  <c r="M105" i="30" l="1"/>
  <c r="M107" i="30" s="1"/>
  <c r="M110" i="30" s="1"/>
  <c r="T65" i="2" s="1"/>
  <c r="G104" i="34"/>
  <c r="I103" i="34"/>
  <c r="G104" i="30"/>
  <c r="I103" i="30"/>
  <c r="G104" i="26"/>
  <c r="I103" i="26"/>
  <c r="I104" i="22"/>
  <c r="I105" i="22" s="1"/>
  <c r="I107" i="22" s="1"/>
  <c r="I110" i="22" s="1"/>
  <c r="L59" i="2" s="1"/>
  <c r="G105" i="22"/>
  <c r="G107" i="22" s="1"/>
  <c r="G104" i="18"/>
  <c r="I103" i="18"/>
  <c r="G104" i="14"/>
  <c r="I103" i="14"/>
  <c r="I104" i="34" l="1"/>
  <c r="I105" i="34" s="1"/>
  <c r="I107" i="34" s="1"/>
  <c r="I110" i="34" s="1"/>
  <c r="L66" i="2" s="1"/>
  <c r="G105" i="34"/>
  <c r="G107" i="34" s="1"/>
  <c r="I104" i="30"/>
  <c r="I105" i="30" s="1"/>
  <c r="I107" i="30" s="1"/>
  <c r="I110" i="30" s="1"/>
  <c r="L65" i="2" s="1"/>
  <c r="G105" i="30"/>
  <c r="G107" i="30" s="1"/>
  <c r="I104" i="26"/>
  <c r="I105" i="26" s="1"/>
  <c r="I107" i="26" s="1"/>
  <c r="I110" i="26" s="1"/>
  <c r="L60" i="2" s="1"/>
  <c r="G105" i="26"/>
  <c r="G107" i="26" s="1"/>
  <c r="I104" i="18"/>
  <c r="I105" i="18" s="1"/>
  <c r="I107" i="18" s="1"/>
  <c r="I110" i="18" s="1"/>
  <c r="L58" i="2" s="1"/>
  <c r="G105" i="18"/>
  <c r="G107" i="18" s="1"/>
  <c r="I104" i="14"/>
  <c r="I105" i="14" s="1"/>
  <c r="I107" i="14" s="1"/>
  <c r="I110" i="14" s="1"/>
  <c r="L57" i="2" s="1"/>
  <c r="G105" i="14"/>
  <c r="G107" i="14" s="1"/>
  <c r="D56" i="2" l="1"/>
  <c r="B56" i="2"/>
  <c r="A94" i="9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93" i="9"/>
  <c r="I92" i="9"/>
  <c r="A54" i="9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16" i="9"/>
  <c r="E11" i="9"/>
  <c r="A8" i="9"/>
  <c r="A6" i="9"/>
  <c r="A3" i="9"/>
  <c r="E26" i="8"/>
  <c r="E25" i="8"/>
  <c r="E24" i="8"/>
  <c r="E23" i="8"/>
  <c r="E22" i="8"/>
  <c r="E21" i="8"/>
  <c r="E20" i="8"/>
  <c r="E19" i="8"/>
  <c r="E18" i="8"/>
  <c r="E17" i="8"/>
  <c r="G16" i="8"/>
  <c r="E16" i="8"/>
  <c r="C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G15" i="8"/>
  <c r="E15" i="8"/>
  <c r="C15" i="8"/>
  <c r="A6" i="8"/>
  <c r="A3" i="8"/>
  <c r="E27" i="8"/>
  <c r="B15" i="7"/>
  <c r="E73" i="9"/>
  <c r="B16" i="7" l="1"/>
  <c r="C17" i="8"/>
  <c r="G19" i="8"/>
  <c r="I19" i="8" s="1"/>
  <c r="G23" i="8"/>
  <c r="C16" i="9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G17" i="8"/>
  <c r="G21" i="8"/>
  <c r="G21" i="9" s="1"/>
  <c r="G25" i="8"/>
  <c r="I25" i="8" s="1"/>
  <c r="G27" i="8"/>
  <c r="I27" i="8" s="1"/>
  <c r="E27" i="9"/>
  <c r="E28" i="8"/>
  <c r="E30" i="8" s="1"/>
  <c r="G15" i="9"/>
  <c r="I16" i="8"/>
  <c r="E18" i="9"/>
  <c r="E20" i="9"/>
  <c r="E26" i="9"/>
  <c r="A80" i="9"/>
  <c r="A41" i="9"/>
  <c r="A83" i="9"/>
  <c r="A44" i="9"/>
  <c r="E116" i="9"/>
  <c r="G73" i="9"/>
  <c r="G116" i="9" s="1"/>
  <c r="B17" i="7"/>
  <c r="I15" i="8"/>
  <c r="C18" i="8"/>
  <c r="G18" i="8"/>
  <c r="E19" i="9"/>
  <c r="G20" i="8"/>
  <c r="E21" i="9"/>
  <c r="G22" i="8"/>
  <c r="E23" i="9"/>
  <c r="G24" i="8"/>
  <c r="E25" i="9"/>
  <c r="G26" i="8"/>
  <c r="E15" i="9"/>
  <c r="G16" i="9"/>
  <c r="K67" i="9" s="1"/>
  <c r="E17" i="9"/>
  <c r="C15" i="9"/>
  <c r="C92" i="9" s="1"/>
  <c r="E16" i="9"/>
  <c r="E22" i="9"/>
  <c r="E24" i="9"/>
  <c r="E62" i="9" s="1"/>
  <c r="G25" i="9"/>
  <c r="E49" i="9"/>
  <c r="C73" i="9" s="1"/>
  <c r="C116" i="9" s="1"/>
  <c r="E88" i="9"/>
  <c r="C53" i="9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17" i="9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E53" i="9" l="1"/>
  <c r="G17" i="9"/>
  <c r="E60" i="9"/>
  <c r="E55" i="9"/>
  <c r="E63" i="9"/>
  <c r="E57" i="9"/>
  <c r="E61" i="9"/>
  <c r="E59" i="9"/>
  <c r="I17" i="8"/>
  <c r="G23" i="9"/>
  <c r="G61" i="9" s="1"/>
  <c r="G19" i="9"/>
  <c r="I19" i="9" s="1"/>
  <c r="I23" i="8"/>
  <c r="G27" i="9"/>
  <c r="I27" i="9" s="1"/>
  <c r="I21" i="8"/>
  <c r="E64" i="9"/>
  <c r="E58" i="9"/>
  <c r="E56" i="9"/>
  <c r="I25" i="9"/>
  <c r="G63" i="9"/>
  <c r="I63" i="9" s="1"/>
  <c r="E28" i="9"/>
  <c r="E30" i="9" s="1"/>
  <c r="E54" i="9"/>
  <c r="E93" i="9"/>
  <c r="G24" i="9"/>
  <c r="I24" i="8"/>
  <c r="G22" i="9"/>
  <c r="I22" i="8"/>
  <c r="G20" i="9"/>
  <c r="I20" i="8"/>
  <c r="B18" i="7"/>
  <c r="C19" i="8"/>
  <c r="I23" i="9"/>
  <c r="G59" i="9"/>
  <c r="I21" i="9"/>
  <c r="G55" i="9"/>
  <c r="I55" i="9" s="1"/>
  <c r="I17" i="9"/>
  <c r="G54" i="9"/>
  <c r="G53" i="9"/>
  <c r="I16" i="9"/>
  <c r="G26" i="9"/>
  <c r="I26" i="8"/>
  <c r="G18" i="9"/>
  <c r="I18" i="8"/>
  <c r="G28" i="8"/>
  <c r="G30" i="8" s="1"/>
  <c r="I15" i="9"/>
  <c r="I54" i="9" l="1"/>
  <c r="I59" i="9"/>
  <c r="G57" i="9"/>
  <c r="I57" i="9" s="1"/>
  <c r="I61" i="9"/>
  <c r="E65" i="9"/>
  <c r="I28" i="8"/>
  <c r="I30" i="8" s="1"/>
  <c r="I33" i="8" s="1"/>
  <c r="G56" i="9"/>
  <c r="I56" i="9" s="1"/>
  <c r="I18" i="9"/>
  <c r="I53" i="9"/>
  <c r="G93" i="9"/>
  <c r="G58" i="9"/>
  <c r="I58" i="9" s="1"/>
  <c r="I20" i="9"/>
  <c r="G60" i="9"/>
  <c r="I60" i="9" s="1"/>
  <c r="I22" i="9"/>
  <c r="G62" i="9"/>
  <c r="I62" i="9" s="1"/>
  <c r="I24" i="9"/>
  <c r="E94" i="9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G64" i="9"/>
  <c r="I64" i="9" s="1"/>
  <c r="I26" i="9"/>
  <c r="G28" i="9"/>
  <c r="G30" i="9" s="1"/>
  <c r="C20" i="8"/>
  <c r="B19" i="7"/>
  <c r="E105" i="9" l="1"/>
  <c r="E107" i="9" s="1"/>
  <c r="I28" i="9"/>
  <c r="I30" i="9" s="1"/>
  <c r="I33" i="9" s="1"/>
  <c r="L13" i="2" s="1"/>
  <c r="G94" i="9"/>
  <c r="I93" i="9"/>
  <c r="G65" i="9"/>
  <c r="C21" i="8"/>
  <c r="B20" i="7"/>
  <c r="I65" i="9"/>
  <c r="I67" i="9" s="1"/>
  <c r="R56" i="2" s="1"/>
  <c r="M67" i="9" l="1"/>
  <c r="M62" i="9" s="1"/>
  <c r="C22" i="8"/>
  <c r="B21" i="7"/>
  <c r="G95" i="9"/>
  <c r="I94" i="9"/>
  <c r="M60" i="9" l="1"/>
  <c r="M53" i="9"/>
  <c r="M93" i="9" s="1"/>
  <c r="M61" i="9"/>
  <c r="M56" i="9"/>
  <c r="M64" i="9"/>
  <c r="M63" i="9"/>
  <c r="M55" i="9"/>
  <c r="M57" i="9"/>
  <c r="M58" i="9"/>
  <c r="M59" i="9"/>
  <c r="M54" i="9"/>
  <c r="B22" i="7"/>
  <c r="C23" i="8"/>
  <c r="G96" i="9"/>
  <c r="I95" i="9"/>
  <c r="M65" i="9" l="1"/>
  <c r="M94" i="9"/>
  <c r="M95" i="9" s="1"/>
  <c r="M96" i="9" s="1"/>
  <c r="M97" i="9" s="1"/>
  <c r="M98" i="9" s="1"/>
  <c r="M99" i="9" s="1"/>
  <c r="M100" i="9" s="1"/>
  <c r="M101" i="9" s="1"/>
  <c r="M102" i="9" s="1"/>
  <c r="M103" i="9" s="1"/>
  <c r="M104" i="9" s="1"/>
  <c r="G97" i="9"/>
  <c r="I96" i="9"/>
  <c r="C24" i="8"/>
  <c r="B23" i="7"/>
  <c r="M105" i="9" l="1"/>
  <c r="M107" i="9" s="1"/>
  <c r="M110" i="9" s="1"/>
  <c r="T56" i="2" s="1"/>
  <c r="C25" i="8"/>
  <c r="B24" i="7"/>
  <c r="G98" i="9"/>
  <c r="I97" i="9"/>
  <c r="G99" i="9" l="1"/>
  <c r="I98" i="9"/>
  <c r="C26" i="8"/>
  <c r="B25" i="7"/>
  <c r="C27" i="8" l="1"/>
  <c r="G100" i="9"/>
  <c r="I99" i="9"/>
  <c r="G101" i="9" l="1"/>
  <c r="I100" i="9"/>
  <c r="G102" i="9" l="1"/>
  <c r="I101" i="9"/>
  <c r="G103" i="9" l="1"/>
  <c r="I102" i="9"/>
  <c r="G104" i="9" l="1"/>
  <c r="I103" i="9"/>
  <c r="I104" i="9" l="1"/>
  <c r="I105" i="9" s="1"/>
  <c r="I107" i="9" s="1"/>
  <c r="I110" i="9" s="1"/>
  <c r="L56" i="2" s="1"/>
  <c r="G105" i="9"/>
  <c r="G107" i="9" s="1"/>
  <c r="D57" i="2" l="1"/>
  <c r="D58" i="2"/>
  <c r="D59" i="2"/>
  <c r="D60" i="2"/>
  <c r="D66" i="2"/>
  <c r="D67" i="2"/>
  <c r="D68" i="2"/>
  <c r="D69" i="2"/>
  <c r="D70" i="2"/>
  <c r="D71" i="2"/>
  <c r="B57" i="2"/>
  <c r="B58" i="2"/>
  <c r="B59" i="2"/>
  <c r="B60" i="2"/>
  <c r="B66" i="2"/>
  <c r="B67" i="2"/>
  <c r="B68" i="2"/>
  <c r="B69" i="2"/>
  <c r="B70" i="2"/>
  <c r="B71" i="2"/>
  <c r="A6" i="6"/>
  <c r="A65" i="6" s="1"/>
  <c r="A3" i="6"/>
  <c r="A62" i="6" s="1"/>
  <c r="A93" i="5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I92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E11" i="5"/>
  <c r="E88" i="5" s="1"/>
  <c r="A8" i="5"/>
  <c r="A6" i="5"/>
  <c r="A83" i="5" s="1"/>
  <c r="A3" i="5"/>
  <c r="A80" i="5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G16" i="4"/>
  <c r="G27" i="4" s="1"/>
  <c r="C16" i="4"/>
  <c r="C16" i="5" s="1"/>
  <c r="A16" i="4"/>
  <c r="G15" i="4"/>
  <c r="G15" i="5" s="1"/>
  <c r="E15" i="4"/>
  <c r="E15" i="5" s="1"/>
  <c r="C15" i="4"/>
  <c r="C15" i="5" s="1"/>
  <c r="C92" i="5" s="1"/>
  <c r="A6" i="4"/>
  <c r="A3" i="4"/>
  <c r="B15" i="3"/>
  <c r="E16" i="4"/>
  <c r="E73" i="5"/>
  <c r="E16" i="5" l="1"/>
  <c r="G27" i="5"/>
  <c r="I15" i="4"/>
  <c r="C93" i="5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53" i="5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17" i="5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G20" i="4"/>
  <c r="G22" i="4"/>
  <c r="G24" i="4"/>
  <c r="G26" i="4"/>
  <c r="I15" i="5"/>
  <c r="I16" i="4"/>
  <c r="C17" i="4"/>
  <c r="G17" i="4"/>
  <c r="G19" i="4"/>
  <c r="G21" i="4"/>
  <c r="G23" i="4"/>
  <c r="G25" i="4"/>
  <c r="E116" i="5"/>
  <c r="G73" i="5"/>
  <c r="G116" i="5" s="1"/>
  <c r="B16" i="3"/>
  <c r="G16" i="5"/>
  <c r="G18" i="4"/>
  <c r="A41" i="5"/>
  <c r="A44" i="5"/>
  <c r="E49" i="5"/>
  <c r="C73" i="5" s="1"/>
  <c r="C116" i="5" s="1"/>
  <c r="G28" i="4" l="1"/>
  <c r="G30" i="4" s="1"/>
  <c r="E53" i="5"/>
  <c r="E93" i="5" s="1"/>
  <c r="C18" i="4"/>
  <c r="B17" i="3"/>
  <c r="G23" i="5"/>
  <c r="G19" i="5"/>
  <c r="G26" i="5"/>
  <c r="G22" i="5"/>
  <c r="G18" i="5"/>
  <c r="G54" i="5"/>
  <c r="G53" i="5"/>
  <c r="I16" i="5"/>
  <c r="G25" i="5"/>
  <c r="G21" i="5"/>
  <c r="G17" i="5"/>
  <c r="E17" i="4"/>
  <c r="G24" i="5"/>
  <c r="G20" i="5"/>
  <c r="E54" i="5"/>
  <c r="E94" i="5" l="1"/>
  <c r="E18" i="4"/>
  <c r="G55" i="5"/>
  <c r="G59" i="5"/>
  <c r="G63" i="5"/>
  <c r="G28" i="5"/>
  <c r="G30" i="5" s="1"/>
  <c r="I54" i="5"/>
  <c r="G56" i="5"/>
  <c r="G60" i="5"/>
  <c r="G64" i="5"/>
  <c r="G57" i="5"/>
  <c r="G61" i="5"/>
  <c r="G58" i="5"/>
  <c r="G62" i="5"/>
  <c r="E17" i="5"/>
  <c r="I17" i="4"/>
  <c r="G93" i="5"/>
  <c r="I53" i="5"/>
  <c r="C19" i="4"/>
  <c r="B18" i="3"/>
  <c r="G65" i="5" l="1"/>
  <c r="G94" i="5"/>
  <c r="I93" i="5"/>
  <c r="E55" i="5"/>
  <c r="I55" i="5" s="1"/>
  <c r="I17" i="5"/>
  <c r="E18" i="5"/>
  <c r="I18" i="4"/>
  <c r="B19" i="3"/>
  <c r="C20" i="4"/>
  <c r="E19" i="4"/>
  <c r="E95" i="5" l="1"/>
  <c r="E20" i="4"/>
  <c r="C21" i="4"/>
  <c r="B20" i="3"/>
  <c r="E56" i="5"/>
  <c r="I56" i="5" s="1"/>
  <c r="I18" i="5"/>
  <c r="E19" i="5"/>
  <c r="I19" i="4"/>
  <c r="G95" i="5"/>
  <c r="I94" i="5"/>
  <c r="E96" i="5" l="1"/>
  <c r="G96" i="5"/>
  <c r="I95" i="5"/>
  <c r="E21" i="4"/>
  <c r="E57" i="5"/>
  <c r="I57" i="5" s="1"/>
  <c r="I19" i="5"/>
  <c r="C22" i="4"/>
  <c r="B21" i="3"/>
  <c r="E20" i="5"/>
  <c r="I20" i="4"/>
  <c r="E58" i="5" l="1"/>
  <c r="I58" i="5" s="1"/>
  <c r="I20" i="5"/>
  <c r="E22" i="4"/>
  <c r="G97" i="5"/>
  <c r="I96" i="5"/>
  <c r="C23" i="4"/>
  <c r="B22" i="3"/>
  <c r="E21" i="5"/>
  <c r="I21" i="4"/>
  <c r="E97" i="5"/>
  <c r="E98" i="5" l="1"/>
  <c r="E59" i="5"/>
  <c r="I59" i="5" s="1"/>
  <c r="I21" i="5"/>
  <c r="E23" i="4"/>
  <c r="C24" i="4"/>
  <c r="B23" i="3"/>
  <c r="G98" i="5"/>
  <c r="I97" i="5"/>
  <c r="E22" i="5"/>
  <c r="I22" i="4"/>
  <c r="E60" i="5" l="1"/>
  <c r="I60" i="5" s="1"/>
  <c r="I22" i="5"/>
  <c r="C25" i="4"/>
  <c r="B24" i="3"/>
  <c r="G99" i="5"/>
  <c r="I98" i="5"/>
  <c r="E24" i="4"/>
  <c r="E23" i="5"/>
  <c r="I23" i="4"/>
  <c r="E99" i="5"/>
  <c r="E100" i="5" l="1"/>
  <c r="E25" i="4"/>
  <c r="E61" i="5"/>
  <c r="I61" i="5" s="1"/>
  <c r="I23" i="5"/>
  <c r="E24" i="5"/>
  <c r="I24" i="4"/>
  <c r="G100" i="5"/>
  <c r="I99" i="5"/>
  <c r="C26" i="4"/>
  <c r="B25" i="3"/>
  <c r="C27" i="4" l="1"/>
  <c r="G101" i="5"/>
  <c r="I100" i="5"/>
  <c r="E62" i="5"/>
  <c r="I62" i="5" s="1"/>
  <c r="I24" i="5"/>
  <c r="E26" i="4"/>
  <c r="E27" i="4"/>
  <c r="E25" i="5"/>
  <c r="I25" i="4"/>
  <c r="E101" i="5"/>
  <c r="E102" i="5" l="1"/>
  <c r="E63" i="5"/>
  <c r="I63" i="5" s="1"/>
  <c r="I25" i="5"/>
  <c r="E26" i="5"/>
  <c r="I26" i="4"/>
  <c r="E27" i="5"/>
  <c r="I27" i="4"/>
  <c r="I28" i="4" s="1"/>
  <c r="I30" i="4" s="1"/>
  <c r="I33" i="4" s="1"/>
  <c r="E28" i="4"/>
  <c r="E30" i="4" s="1"/>
  <c r="G102" i="5"/>
  <c r="I101" i="5"/>
  <c r="I27" i="5" l="1"/>
  <c r="E28" i="5"/>
  <c r="E30" i="5" s="1"/>
  <c r="E64" i="5"/>
  <c r="I26" i="5"/>
  <c r="G103" i="5"/>
  <c r="I102" i="5"/>
  <c r="E103" i="5"/>
  <c r="E104" i="5" l="1"/>
  <c r="E105" i="5" s="1"/>
  <c r="E107" i="5" s="1"/>
  <c r="G104" i="5"/>
  <c r="I103" i="5"/>
  <c r="I64" i="5"/>
  <c r="E65" i="5"/>
  <c r="I28" i="5"/>
  <c r="I30" i="5" s="1"/>
  <c r="I33" i="5" s="1"/>
  <c r="L12" i="2" s="1"/>
  <c r="I65" i="5" l="1"/>
  <c r="I67" i="5" s="1"/>
  <c r="I104" i="5"/>
  <c r="I105" i="5" s="1"/>
  <c r="I107" i="5" s="1"/>
  <c r="I110" i="5" s="1"/>
  <c r="L55" i="2" s="1"/>
  <c r="G105" i="5"/>
  <c r="G107" i="5" s="1"/>
  <c r="R55" i="2" l="1"/>
  <c r="M67" i="5"/>
  <c r="M54" i="5" s="1"/>
  <c r="P16" i="2"/>
  <c r="P17" i="2"/>
  <c r="P22" i="2"/>
  <c r="P23" i="2"/>
  <c r="P24" i="2"/>
  <c r="P25" i="2"/>
  <c r="P26" i="2"/>
  <c r="P27" i="2"/>
  <c r="P28" i="2"/>
  <c r="P13" i="2"/>
  <c r="P14" i="2"/>
  <c r="P15" i="2"/>
  <c r="P58" i="2"/>
  <c r="P59" i="2"/>
  <c r="P60" i="2"/>
  <c r="P65" i="2"/>
  <c r="P66" i="2"/>
  <c r="P67" i="2"/>
  <c r="P68" i="2"/>
  <c r="P69" i="2"/>
  <c r="P70" i="2"/>
  <c r="P71" i="2"/>
  <c r="P56" i="2"/>
  <c r="P57" i="2"/>
  <c r="R78" i="2"/>
  <c r="N78" i="2"/>
  <c r="L78" i="2"/>
  <c r="J78" i="2"/>
  <c r="H78" i="2"/>
  <c r="F78" i="2"/>
  <c r="L35" i="2"/>
  <c r="J35" i="2"/>
  <c r="H35" i="2"/>
  <c r="F35" i="2"/>
  <c r="A13" i="2"/>
  <c r="A14" i="2" s="1"/>
  <c r="A15" i="2" s="1"/>
  <c r="A16" i="2" s="1"/>
  <c r="A17" i="2" s="1"/>
  <c r="A18" i="2" s="1"/>
  <c r="A19" i="2" l="1"/>
  <c r="A20" i="2" s="1"/>
  <c r="A21" i="2" s="1"/>
  <c r="A22" i="2" s="1"/>
  <c r="M62" i="5"/>
  <c r="M56" i="5"/>
  <c r="M60" i="5"/>
  <c r="M58" i="5"/>
  <c r="M64" i="5"/>
  <c r="M63" i="5"/>
  <c r="M61" i="5"/>
  <c r="M59" i="5"/>
  <c r="M57" i="5"/>
  <c r="M53" i="5"/>
  <c r="M93" i="5" s="1"/>
  <c r="M55" i="5"/>
  <c r="A47" i="2"/>
  <c r="A3" i="2"/>
  <c r="P12" i="2"/>
  <c r="P35" i="2" s="1"/>
  <c r="B55" i="2"/>
  <c r="D55" i="2"/>
  <c r="P55" i="2"/>
  <c r="P78" i="2" s="1"/>
  <c r="B78" i="2"/>
  <c r="D78" i="2"/>
  <c r="B79" i="2"/>
  <c r="D79" i="2"/>
  <c r="B80" i="2"/>
  <c r="D80" i="2"/>
  <c r="B81" i="2"/>
  <c r="B82" i="2"/>
  <c r="B83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A23" i="2" l="1"/>
  <c r="A24" i="2" s="1"/>
  <c r="A25" i="2" s="1"/>
  <c r="A26" i="2" s="1"/>
  <c r="A27" i="2" s="1"/>
  <c r="A28" i="2" s="1"/>
  <c r="A29" i="2" s="1"/>
  <c r="A30" i="2" s="1"/>
  <c r="A31" i="2" s="1"/>
  <c r="A33" i="1"/>
  <c r="A34" i="1" s="1"/>
  <c r="A30" i="1"/>
  <c r="A31" i="1" s="1"/>
  <c r="A32" i="1" s="1"/>
  <c r="M65" i="5"/>
  <c r="M94" i="5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F28" i="1"/>
  <c r="F20" i="1"/>
  <c r="A32" i="2" l="1"/>
  <c r="M105" i="5"/>
  <c r="M107" i="5" s="1"/>
  <c r="M110" i="5" s="1"/>
  <c r="T55" i="2" s="1"/>
  <c r="T78" i="2" s="1"/>
  <c r="F31" i="1" s="1"/>
  <c r="A56" i="2" l="1"/>
  <c r="A57" i="2" s="1"/>
  <c r="A58" i="2" s="1"/>
  <c r="A59" i="2" s="1"/>
  <c r="A60" i="2" s="1"/>
  <c r="A61" i="2" s="1"/>
  <c r="A62" i="2" s="1"/>
  <c r="A63" i="2" s="1"/>
  <c r="A33" i="2"/>
  <c r="A66" i="2" l="1"/>
  <c r="A67" i="2" s="1"/>
  <c r="A68" i="2" s="1"/>
  <c r="A69" i="2" s="1"/>
  <c r="A70" i="2" s="1"/>
  <c r="A71" i="2" s="1"/>
  <c r="A72" i="2" s="1"/>
  <c r="A73" i="2" s="1"/>
  <c r="A74" i="2" s="1"/>
  <c r="A75" i="2" s="1"/>
  <c r="A76" i="2" s="1"/>
</calcChain>
</file>

<file path=xl/sharedStrings.xml><?xml version="1.0" encoding="utf-8"?>
<sst xmlns="http://schemas.openxmlformats.org/spreadsheetml/2006/main" count="3841" uniqueCount="376">
  <si>
    <t>Pro-Forma Adjustment - System Reliability</t>
  </si>
  <si>
    <t>Line</t>
  </si>
  <si>
    <t>No.</t>
  </si>
  <si>
    <t>Description</t>
  </si>
  <si>
    <t>Amount</t>
  </si>
  <si>
    <t>Reference</t>
  </si>
  <si>
    <t>(a)</t>
  </si>
  <si>
    <t>(b)</t>
  </si>
  <si>
    <t>(c)</t>
  </si>
  <si>
    <t>Pro Forma Adjustment:  System Reliability</t>
  </si>
  <si>
    <t xml:space="preserve"> </t>
  </si>
  <si>
    <t>Pro Forma Adjustment - Rate Base:</t>
  </si>
  <si>
    <t>Plant in Service -</t>
  </si>
  <si>
    <t xml:space="preserve">  Intangible Plant</t>
  </si>
  <si>
    <t>Exhibit ASR 1.1, WP C,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</si>
  <si>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</si>
  <si>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</si>
  <si>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</si>
  <si>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</si>
  <si>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</si>
  <si>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4</t>
  </si>
  <si>
    <t>Accumulated Depreciation -</t>
  </si>
  <si>
    <t>Exhibit ASR 1.1, WP C,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</si>
  <si>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</si>
  <si>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</si>
  <si>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</si>
  <si>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</si>
  <si>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</si>
  <si>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 xml:space="preserve"> To Exhibit BMG 1.1, WP BMG 8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</si>
  <si>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</si>
  <si>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</si>
  <si>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</si>
  <si>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</si>
  <si>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</si>
  <si>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</si>
  <si>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</si>
  <si>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</si>
  <si>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</si>
  <si>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</si>
  <si>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</si>
  <si>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</si>
  <si>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</si>
  <si>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</si>
  <si>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</si>
  <si>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</si>
  <si>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</si>
  <si>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</si>
  <si>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</si>
  <si>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G9B6U Tea-Sioux Falls Hwy 106 Tie</t>
  </si>
  <si>
    <t>G99BW: SFS: NW 250 PSIG Expansion</t>
  </si>
  <si>
    <t>G9BAL: SFS: Minnesota Ave Russell-3rd</t>
  </si>
  <si>
    <t>G9AET: 6 Mile Rd 10th to 26th</t>
  </si>
  <si>
    <t>G9DBD: SFS: Rice St 210 Line Upgrade</t>
  </si>
  <si>
    <t>G9BDC: SFS: SF MM New Harrisburg Feed</t>
  </si>
  <si>
    <t>G9AM4: SFS: SD Hwy42 SD100 to 6 Mile</t>
  </si>
  <si>
    <t>G9AF2: SFS: Tallgrass 69th to 85th</t>
  </si>
  <si>
    <t>G9BDJ: 2022 Flow Computer Rplmt-SD</t>
  </si>
  <si>
    <t>GHBDH: 2022 Odorizer Replacement - SD</t>
  </si>
  <si>
    <t>G99BX: SFS: LaMesa &amp; 60th - NW 250 Psig</t>
  </si>
  <si>
    <t>G99HL: SFS W 85th St HP: Tea-Sundown'r</t>
  </si>
  <si>
    <t>G9BAM: SFS: Minnesota Ave 2nd-10th</t>
  </si>
  <si>
    <t>G99B4: SFS: Brandon Splitrock Blvd 6"</t>
  </si>
  <si>
    <t>G99I0: SFS Tea Serve Load</t>
  </si>
  <si>
    <t>G9BDN: SFS: Hwy 42 and Highway 11 Reb</t>
  </si>
  <si>
    <t>G9BDU: SFS 85th St to I29</t>
  </si>
  <si>
    <t>G99L3: SFS I229 210PSIG Expansion</t>
  </si>
  <si>
    <t>G9BDM: 2023 Flow Computer Repl-SD</t>
  </si>
  <si>
    <t>G9BDG: SFS: West TBS Capacity</t>
  </si>
  <si>
    <t>G9BDQ: SFS: 60th St N 250Psig Upgrade</t>
  </si>
  <si>
    <t>G0BDL: 2023 Odorizer Replacement - SD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</si>
  <si>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</si>
  <si>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</si>
  <si>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</si>
  <si>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</si>
  <si>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</si>
  <si>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</si>
  <si>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</si>
  <si>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</si>
  <si>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</si>
  <si>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</si>
  <si>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</si>
  <si>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G9B6U</t>
  </si>
  <si>
    <t>Tea-Sioux Falls Hwy 106 Tie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</si>
  <si>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</si>
  <si>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</si>
  <si>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</si>
  <si>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</si>
  <si>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</si>
  <si>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</si>
  <si>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</si>
  <si>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</si>
  <si>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</si>
  <si>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</si>
  <si>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</si>
  <si>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2.376.00</t>
  </si>
  <si>
    <t>0.000.00</t>
  </si>
  <si>
    <t>In-Service Date:</t>
  </si>
  <si>
    <t>Project Amount:</t>
  </si>
  <si>
    <t>Sources:</t>
  </si>
  <si>
    <t>Column (b):</t>
  </si>
  <si>
    <t xml:space="preserve">     Line 15 - Exhibit ASR 1.1, WP C Page 9</t>
  </si>
  <si>
    <t xml:space="preserve">     Line 16 - Exhibit ASR 1.1, WP C Page 9</t>
  </si>
  <si>
    <t>Column (c): Exhibit ASR 1.1, WP C, Page 9</t>
  </si>
  <si>
    <t>Column (d): Exhibit ASR 1.1, WP C, Page 9</t>
  </si>
  <si>
    <t xml:space="preserve">Column (e): Exhibit ASR 1.1, WP C, Page 10 </t>
  </si>
  <si>
    <t>Column (f): MACRS half-year convention tax depreciation rate for year one recovery on Gas Distribution Property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</si>
  <si>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</si>
  <si>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</si>
  <si>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</si>
  <si>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</si>
  <si>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</si>
  <si>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</si>
  <si>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</si>
  <si>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</si>
  <si>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</si>
  <si>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</si>
  <si>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</si>
  <si>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C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</si>
  <si>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</si>
  <si>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</si>
  <si>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</si>
  <si>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</si>
  <si>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</si>
  <si>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</si>
  <si>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</si>
  <si>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Page 3, Line 21, Column (i)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</si>
  <si>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</si>
  <si>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</si>
  <si>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</si>
  <si>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</si>
  <si>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</si>
  <si>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</si>
  <si>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</si>
  <si>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</si>
  <si>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</si>
  <si>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</si>
  <si>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</si>
  <si>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</si>
  <si>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</si>
  <si>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12 MO AVG</t>
  </si>
  <si>
    <t>Page 3, Line 21, Column (f)</t>
  </si>
  <si>
    <t>Page 3, Line 21, Column (j)</t>
  </si>
  <si>
    <t>G99BW</t>
  </si>
  <si>
    <t>SFS: NW 250 PSIG Expansion</t>
  </si>
  <si>
    <t xml:space="preserve">     Line 15 - Exhibit ASR 1.1, WP C Page 16</t>
  </si>
  <si>
    <t xml:space="preserve">     Line 16 - Exhibit ASR 1.1, WP C Page 16</t>
  </si>
  <si>
    <t>Column (c): Exhibit ASR 1.1, WP C, Page 16</t>
  </si>
  <si>
    <t>Column (d): Exhibit ASR 1.1, WP C, Page 16</t>
  </si>
  <si>
    <t>Column (e): Exhibit ASR 1.1, WP C, Page 17</t>
  </si>
  <si>
    <t>Page 2, Line 2, Column (f)</t>
  </si>
  <si>
    <t>Page 3, Line 22, Column (i)</t>
  </si>
  <si>
    <t>Page 3, Line 22, Column (f)</t>
  </si>
  <si>
    <t>Page 3, Line 22, Column (j)</t>
  </si>
  <si>
    <t>G9BAL</t>
  </si>
  <si>
    <t>SFS: Minnesota Ave Russell-3rd</t>
  </si>
  <si>
    <t>No</t>
  </si>
  <si>
    <t xml:space="preserve">     Line 15 - Exhibit ASR 1.1, WP C Page 23</t>
  </si>
  <si>
    <t xml:space="preserve">     Line 16 - Exhibit ASR 1.1, WP C Page 23</t>
  </si>
  <si>
    <t>Column (c): Exhibit ASR 1.1, WP C, Page 23</t>
  </si>
  <si>
    <t>Column (d): Exhibit ASR 1.1, WP C, Page 23</t>
  </si>
  <si>
    <t>Column (e): Exhibit ASR 1.1, WP C, Page 24</t>
  </si>
  <si>
    <t>Page 2, Line 3, Column (f)</t>
  </si>
  <si>
    <t>Page 3, Line 23, Column (i)</t>
  </si>
  <si>
    <t>Page 3, Line 23, Column (f)</t>
  </si>
  <si>
    <t>Page 3, Line 23, Column (j)</t>
  </si>
  <si>
    <t>G9AET</t>
  </si>
  <si>
    <t>6 Mile Rd 10th to 26th</t>
  </si>
  <si>
    <t xml:space="preserve">     Line 15 - Exhibit ASR 1.1, WP C Page 30</t>
  </si>
  <si>
    <t xml:space="preserve">     Line 16 - Exhibit ASR 1.1, WP C Page 30</t>
  </si>
  <si>
    <t>Column (c): Exhibit ASR 1.1, WP C, Page 30</t>
  </si>
  <si>
    <t>Column (d): Exhibit ASR 1.1, WP C, Page 30</t>
  </si>
  <si>
    <t>Column (e): Exhibit ASR 1.1, WP C, Page 31</t>
  </si>
  <si>
    <t>Page 2, Line 4, Column (f)</t>
  </si>
  <si>
    <t>Page 3, Line 24, Column (i)</t>
  </si>
  <si>
    <t>Page 3, Line 24, Column (f)</t>
  </si>
  <si>
    <t>Page 3, Line 24, Column (j)</t>
  </si>
  <si>
    <t>G9BDB</t>
  </si>
  <si>
    <t>SFS: Rice St 210 Line Upgrade</t>
  </si>
  <si>
    <t xml:space="preserve">     Line 15 - Exhibit ASR 1.1, WP C Page 37</t>
  </si>
  <si>
    <t xml:space="preserve">     Line 16 - Exhibit ASR 1.1, WP C Page 37</t>
  </si>
  <si>
    <t>Column (c): Exhibit ASR 1.1, WP C, Page 37</t>
  </si>
  <si>
    <t>Column (d): Exhibit ASR 1.1, WP C, Page 37</t>
  </si>
  <si>
    <t>Column (e): Exhibit ASR 1.1, WP C, Page 38</t>
  </si>
  <si>
    <t>Page 2, Line 5, Column (f)</t>
  </si>
  <si>
    <t>Page 3, Line 25, Column (i)</t>
  </si>
  <si>
    <t>Page 3, Line 25, Column (f)</t>
  </si>
  <si>
    <t>Page 3, Line 25, Column (j)</t>
  </si>
  <si>
    <t>G9BDC</t>
  </si>
  <si>
    <t>SFS: SF MM New Harrisburg Feed</t>
  </si>
  <si>
    <t xml:space="preserve">     Line 15 - Exhibit ASR 1.1, WP C Page 44</t>
  </si>
  <si>
    <t xml:space="preserve">     Line 16 - Exhibit ASR 1.1, WP C Page 44</t>
  </si>
  <si>
    <t>Column (c): Exhibit ASR 1.1, WP C, Page 44</t>
  </si>
  <si>
    <t>Column (d): Exhibit ASR 1.1, WP C, Page 44</t>
  </si>
  <si>
    <t>Column (e): Exhibit ASR 1.1, WP C, Page 45</t>
  </si>
  <si>
    <t>Page 2, Line 6, Column (f)</t>
  </si>
  <si>
    <t>Page 3, Line 26, Column (i)</t>
  </si>
  <si>
    <t>Page 3, Line 26, Column (f)</t>
  </si>
  <si>
    <t>Page 3, Line 26, Column (j)</t>
  </si>
  <si>
    <t>G9AM4</t>
  </si>
  <si>
    <t>SFS: SD Hwy42 SD100 to 6 Mile</t>
  </si>
  <si>
    <t xml:space="preserve">     Line 15 - Exhibit ASR 1.1, WP C Page 51</t>
  </si>
  <si>
    <t xml:space="preserve">     Line 16 - Exhibit ASR 1.1, WP C Page 51</t>
  </si>
  <si>
    <t>Column (c): Exhibit ASR 1.1, WP C, Page 51</t>
  </si>
  <si>
    <t>Column (d): Exhibit ASR 1.1, WP C, Page 51</t>
  </si>
  <si>
    <t>Column (e): Exhibit ASR 1.1, WP C, Page 52</t>
  </si>
  <si>
    <t>Page 2, Line 7, Column (f)</t>
  </si>
  <si>
    <t>Page 3, Line 27, Column (i)</t>
  </si>
  <si>
    <t>Page 3, Line 27, Column (f)</t>
  </si>
  <si>
    <t>Page 3, Line 27, Column (j)</t>
  </si>
  <si>
    <t>G9AF2</t>
  </si>
  <si>
    <t>SFS: Tallgrass 69th to 85th</t>
  </si>
  <si>
    <t xml:space="preserve">     Line 15 - Exhibit ASR 1.1, WP C Page 58</t>
  </si>
  <si>
    <t xml:space="preserve">     Line 16 - Exhibit ASR 1.1, WP C Page 58</t>
  </si>
  <si>
    <t>Column (c): Exhibit ASR 1.1, WP C, Page 58</t>
  </si>
  <si>
    <t>Column (d): Exhibit ASR 1.1, WP C, Page 58</t>
  </si>
  <si>
    <t>Column (e): Exhibit ASR 1.1, WP C, Page 59</t>
  </si>
  <si>
    <t>Page 2, Line 8, Column (f)</t>
  </si>
  <si>
    <t>Page 3, Line 28, Column (i)</t>
  </si>
  <si>
    <t>Page 3, Line 28 Column (f)</t>
  </si>
  <si>
    <t>Page 3, Line 28, Column (j)</t>
  </si>
  <si>
    <t>G9BDJ</t>
  </si>
  <si>
    <t>2022 Flow Computer Rplmt-SD</t>
  </si>
  <si>
    <t>2.379.00</t>
  </si>
  <si>
    <t xml:space="preserve">     Line 15 - Exhibit ASR 1.1, WP C Page 65</t>
  </si>
  <si>
    <t xml:space="preserve">     Line 16 - Exhibit ASR 1.1, WP C Page 65</t>
  </si>
  <si>
    <t>Column (c): Exhibit ASR 1.1, WP C, Page 65</t>
  </si>
  <si>
    <t>Column (d): Exhibit ASR 1.1, WP C, Page 65</t>
  </si>
  <si>
    <t>Column (e): Exhibit ASR 1.1, WP C, Page 66</t>
  </si>
  <si>
    <t>Page 2, Line 9, Column (f)</t>
  </si>
  <si>
    <t>Page 3, Line 29, Column (i)</t>
  </si>
  <si>
    <t>Page 3, Line 29, Column (f)</t>
  </si>
  <si>
    <t>Page 3, Line 29, Column (j)</t>
  </si>
  <si>
    <t>G9BDH</t>
  </si>
  <si>
    <t>2022 Odorizer Replacement - SD</t>
  </si>
  <si>
    <t xml:space="preserve">     Line 15 - Exhibit ASR 1.1, WP C Page 72</t>
  </si>
  <si>
    <t xml:space="preserve">     Line 16 - Exhibit ASR 1.1, WP C Page 72</t>
  </si>
  <si>
    <t>Column (c): Exhibit ASR 1.1, WP C, Page 72</t>
  </si>
  <si>
    <t>Column (d): Exhibit ASR 1.1, WP C, Page 72</t>
  </si>
  <si>
    <t xml:space="preserve">Column (e): Exhibit ASR 1.1, WP C, Page 73 </t>
  </si>
  <si>
    <t>Page 2, Line 10, Column (f)</t>
  </si>
  <si>
    <t>Page 3, Line 32, Column (i)</t>
  </si>
  <si>
    <t>Page 3, Line 32, Column (f)</t>
  </si>
  <si>
    <t>Page 3, Line 32, Column (j)</t>
  </si>
  <si>
    <t>G99BX</t>
  </si>
  <si>
    <t>SFS: LaMesa &amp; 60th - NW 250 Psig</t>
  </si>
  <si>
    <t xml:space="preserve">     Line 15 - Exhibit ASR 1.1, WP C Page 79</t>
  </si>
  <si>
    <t xml:space="preserve">     Line 16 - Exhibit ASR 1.1, WP C Page 79</t>
  </si>
  <si>
    <t>Column (c): Exhibit ASR 1.1, WP C, Page 79</t>
  </si>
  <si>
    <t>Column (d): Exhibit ASR 1.1, WP C, Page 79</t>
  </si>
  <si>
    <t>Column (e): Exhibit ASR 1.1, WP C, Page 80</t>
  </si>
  <si>
    <t>Page 2, Line 11, Column (f)</t>
  </si>
  <si>
    <t>Page 3, Line 33, Column (i)</t>
  </si>
  <si>
    <t>Page 3, Line 33, Column (f)</t>
  </si>
  <si>
    <t>Page 3, Line 33, Column (j)</t>
  </si>
  <si>
    <t>G99HL</t>
  </si>
  <si>
    <t>SFS W 85th St HP: Tea-Sundown'r</t>
  </si>
  <si>
    <t xml:space="preserve">     Line 15 - Exhibit ASR 1.1, WP C Page 86</t>
  </si>
  <si>
    <t xml:space="preserve">     Line 16 - Exhibit ASR 1.1, WP C Page 86</t>
  </si>
  <si>
    <t>Column (c): Exhibit ASR 1.1, WP C, Page 86</t>
  </si>
  <si>
    <t>Column (d): Exhibit ASR 1.1, WP C, Page 86</t>
  </si>
  <si>
    <t>Column (e): Exhibit ASR 1.1, WP C, Page 81</t>
  </si>
  <si>
    <t>Page 2, Line 12, Column (f)</t>
  </si>
  <si>
    <t>Page 3, Line 34, Column (i)</t>
  </si>
  <si>
    <t>Page 3, Line 34, Column (f)</t>
  </si>
  <si>
    <t>Page 3, Line 34, Column (j)</t>
  </si>
  <si>
    <t>G9BAM</t>
  </si>
  <si>
    <t>SFS: Minnesota Ave 2nd-10th</t>
  </si>
  <si>
    <t xml:space="preserve">     Line 15 - Exhibit ASR 1.1, WP C Page 93</t>
  </si>
  <si>
    <t xml:space="preserve">     Line 16 - Exhibit ASR 1.1, WP C Page 93</t>
  </si>
  <si>
    <t>Column (c): Exhibit ASR 1.1, WP C, Page 93</t>
  </si>
  <si>
    <t>Column (d): Exhibit ASR 1.1, WP C, Page 93</t>
  </si>
  <si>
    <t>Column (e): Exhibit ASR 1.1, WP C, Page 94</t>
  </si>
  <si>
    <t>Page 2, Line 13, Column (f)</t>
  </si>
  <si>
    <t>Page 3, Line 35, Column (i)</t>
  </si>
  <si>
    <t>Page 3, Line 35, Column (f)</t>
  </si>
  <si>
    <t>Page 3, Line 35, Column (j)</t>
  </si>
  <si>
    <t>G99B4</t>
  </si>
  <si>
    <t>SFS: Brandon Splitrock Blvd 6"</t>
  </si>
  <si>
    <t xml:space="preserve">     Line 15 - Exhibit ASR 1.1, WP C Page 100</t>
  </si>
  <si>
    <t xml:space="preserve">     Line 16 - Exhibit ASR 1.1, WP C Page 100</t>
  </si>
  <si>
    <t>Column (c): Exhibit ASR 1.1, WP C, Page 100</t>
  </si>
  <si>
    <t>Column (d): Exhibit ASR 1.1, WP C, Page 100</t>
  </si>
  <si>
    <t>Column (e): Exhibit ASR 1.1, WP C, Page 101</t>
  </si>
  <si>
    <t>Page 2, Line 14, Column (f)</t>
  </si>
  <si>
    <t>Page 3, Line 36, Column (i)</t>
  </si>
  <si>
    <t>Page 3, Line 36, Column (f)</t>
  </si>
  <si>
    <t>Page 3, Line 36, Column (j)</t>
  </si>
  <si>
    <t>G99I0</t>
  </si>
  <si>
    <t>SFS: Tea Serve Load</t>
  </si>
  <si>
    <t xml:space="preserve">     Line 15 - Exhibit ASR 1.1, WP C Page 107</t>
  </si>
  <si>
    <t xml:space="preserve">     Line 16 - Exhibit ASR 1.1, WP C Page 107</t>
  </si>
  <si>
    <t>Column (c): Exhibit ASR 1.1, WP C, Page 107</t>
  </si>
  <si>
    <t>Column (d): Exhibit ASR 1.1, WP C, Page 107</t>
  </si>
  <si>
    <t>Column (e): Exhibit ASR 1.1, WP C, Page 108</t>
  </si>
  <si>
    <t>Page 2, Line 15, Column (f)</t>
  </si>
  <si>
    <t>Page 3, Line 37, Column (i)</t>
  </si>
  <si>
    <t>Page 3, Line 37, Column (f)</t>
  </si>
  <si>
    <t>Page 3, Line 37, Column (j)</t>
  </si>
  <si>
    <t>G9BDN</t>
  </si>
  <si>
    <t>SFS: Hwy 42 and Highway 11 Reb</t>
  </si>
  <si>
    <t xml:space="preserve">     Line 15 - Exhibit ASR 1.1, WP C Page 114</t>
  </si>
  <si>
    <t xml:space="preserve">     Line 16 - Exhibit ASR 1.1, WP C Page 114</t>
  </si>
  <si>
    <t>Column (c): Exhibit ASR 1.1, WP C, Page 114</t>
  </si>
  <si>
    <t>Column (d): Exhibit ASR 1.1, WP C, Page 114</t>
  </si>
  <si>
    <t>Column (e): Exhibit ASR 1.1, WP C, Page 115</t>
  </si>
  <si>
    <t>Page 2, Line 16, Column (f)</t>
  </si>
  <si>
    <t>Page 3, Line 38, Column (i)</t>
  </si>
  <si>
    <t>Page 3, Line 38, Column (f)</t>
  </si>
  <si>
    <t>Page 3, Line 38, Column (j)</t>
  </si>
  <si>
    <t>G9BDU</t>
  </si>
  <si>
    <t>SFS 85th St to I29</t>
  </si>
  <si>
    <t xml:space="preserve">     Line 15 - Exhibit ASR 1.1, WP C Page 121</t>
  </si>
  <si>
    <t xml:space="preserve">     Line 16 - Exhibit ASR 1.1, WP C Page 121</t>
  </si>
  <si>
    <t>Column (c): Exhibit ASR 1.1, WP C, Page 121</t>
  </si>
  <si>
    <t>Column (d): Exhibit ASR 1.1, WP C, Page 121</t>
  </si>
  <si>
    <t>Column (e): Exhibit ASR 1.1, WP C, Page 122</t>
  </si>
  <si>
    <t>Page 2, Line 17, Column (f)</t>
  </si>
  <si>
    <t>Page 3, Line 39, Column (i)</t>
  </si>
  <si>
    <t>Page 3, Line 39 Column (f)</t>
  </si>
  <si>
    <t>Page 3, Line 39, Column (j)</t>
  </si>
  <si>
    <t>G99L3</t>
  </si>
  <si>
    <t>SFS East Side 210PSIG Expansion</t>
  </si>
  <si>
    <t xml:space="preserve">     Line 15 - Exhibit ASR 1.1, WP C Page 128</t>
  </si>
  <si>
    <t xml:space="preserve">     Line 16 - Exhibit ASR 1.1, WP C Page 128</t>
  </si>
  <si>
    <t>Column (c): Exhibit ASR 1.1, WP C, Page 128</t>
  </si>
  <si>
    <t>Column (d): Exhibit ASR 1.1, WP C, Page 128</t>
  </si>
  <si>
    <t>Column (e): Exhibit ASR 1.1, WP C, Page 129</t>
  </si>
  <si>
    <t>Page 2, Line 18, Column (f)</t>
  </si>
  <si>
    <t>Page 3, Line 40, Column (i)</t>
  </si>
  <si>
    <t>Page 3, Line 40, Column (f)</t>
  </si>
  <si>
    <t>Page 3, Line 40, Column (j)</t>
  </si>
  <si>
    <t>G9BDM</t>
  </si>
  <si>
    <t>2023 Flow Computer Repl - SD</t>
  </si>
  <si>
    <t xml:space="preserve">     Line 15 - Exhibit ASR 1.1, WP C Page 135</t>
  </si>
  <si>
    <t xml:space="preserve">     Line 16 - Exhibit ASR 1.1, WP C Page 135</t>
  </si>
  <si>
    <t>Column (c): Exhibit ASR 1.1, WP C, Page 135</t>
  </si>
  <si>
    <t>Column (d): Exhibit ASR 1.1, WP C, Page 135</t>
  </si>
  <si>
    <t>Column (e): Exhibit ASR 1.1, WP C, Page 136</t>
  </si>
  <si>
    <t>Page 2, Line 19, Column (f)</t>
  </si>
  <si>
    <t>Page 3, Line 41, Column (i)</t>
  </si>
  <si>
    <t>Page 3, Line 41, Column (f)</t>
  </si>
  <si>
    <t>Page 3, Line 41, Column (j)</t>
  </si>
  <si>
    <t>G9BDG</t>
  </si>
  <si>
    <t>SFS: SF West TBS Capacity</t>
  </si>
  <si>
    <t xml:space="preserve">     Line 15 - Exhibit ASR 1.1, WP C Page 142</t>
  </si>
  <si>
    <t xml:space="preserve">     Line 16 - Exhibit ASR 1.1, WP C Page 142</t>
  </si>
  <si>
    <t>Column (c): Exhibit ASR 1.1, WP C, Page 142</t>
  </si>
  <si>
    <t>Column (d): Exhibit ASR 1.1, WP C, Page 142</t>
  </si>
  <si>
    <t>Column (e): Exhibit ASR 1.1, WP C, Page 143</t>
  </si>
  <si>
    <t>Page 2, Line 20, Column (f)</t>
  </si>
  <si>
    <t>Page 3, Line 42, Column (i)</t>
  </si>
  <si>
    <t>Page 3, Line 42, Column (f)</t>
  </si>
  <si>
    <t>Page 3, Line 42, Column (j)</t>
  </si>
  <si>
    <t>G9BDQ</t>
  </si>
  <si>
    <t>SFS: SFS 60th St N 250Psig Upgrade</t>
  </si>
  <si>
    <t>2.378.00</t>
  </si>
  <si>
    <t xml:space="preserve">     Line 15 - Exhibit ASR 1.1, WP C Page 152</t>
  </si>
  <si>
    <t xml:space="preserve">     Line 16 - Exhibit ASR 1.1, WP C Page 152</t>
  </si>
  <si>
    <t>Column (c): Exhibit ASR 1.1, WP C, Page 152</t>
  </si>
  <si>
    <t>Column (d): Exhibit ASR 1.1, WP C, Page 152</t>
  </si>
  <si>
    <t>Column (e): Exhibit ASR 1.1, WP C, Page 153</t>
  </si>
  <si>
    <t>Page 2, Line 21, Column (f)</t>
  </si>
  <si>
    <t>Page 3, Line 43, Column (i)</t>
  </si>
  <si>
    <t>Page 3, Line 43, Column (f)</t>
  </si>
  <si>
    <t>Page 3, Line 43, Column (j)</t>
  </si>
  <si>
    <t>G9BDL</t>
  </si>
  <si>
    <t>2023 Odorizer Replacment - SD</t>
  </si>
  <si>
    <t xml:space="preserve">     Line 15 - Exhibit ASR 1.1, WP C Page 159</t>
  </si>
  <si>
    <t xml:space="preserve">     Line 16 - Exhibit ASR 1.1, WP C Page 159</t>
  </si>
  <si>
    <t>Column (c): Exhibit ASR 1.1, WP C, Page 159</t>
  </si>
  <si>
    <t>Column (d): Exhibit ASR 1.1, WP C, Page 159</t>
  </si>
  <si>
    <t>Column (e): Exhibit ASR 1.1, WP C, Page 160</t>
  </si>
  <si>
    <t>Page 2, Line 22, Column (f)</t>
  </si>
  <si>
    <t>Page 3, Line 44, Column (i)</t>
  </si>
  <si>
    <t>Page 3, Line 44, Column (f)</t>
  </si>
  <si>
    <t>Page 3, Line 44, Column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</si>
</sst>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8" fontId="9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0" fontId="5" fillId="0" borderId="0" xfId="4" applyFont="1"/>
    <xf numFmtId="0" fontId="4" fillId="0" borderId="2" xfId="4" applyFont="1" applyBorder="1"/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4" fontId="5" fillId="0" borderId="0" xfId="2" applyFont="1"/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4" fontId="5" fillId="0" borderId="3" xfId="2" applyFont="1" applyBorder="1"/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44" fontId="5" fillId="0" borderId="0" xfId="2" applyFont="1" applyBorder="1"/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5" xfId="7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8" applyNumberFormat="1" applyFont="1"/>
    <xf numFmtId="0" fontId="8" fillId="0" borderId="0" xfId="9" applyFont="1"/>
    <xf numFmtId="168" fontId="6" fillId="0" borderId="0" xfId="10" applyFont="1" applyAlignment="1">
      <alignment horizontal="centerContinuous"/>
    </xf>
    <xf numFmtId="168" fontId="10" fillId="0" borderId="0" xfId="10" applyFont="1" applyAlignment="1">
      <alignment horizontal="centerContinuous"/>
    </xf>
    <xf numFmtId="168" fontId="5" fillId="0" borderId="0" xfId="10" applyFont="1" applyAlignment="1">
      <alignment horizontal="centerContinuous"/>
    </xf>
    <xf numFmtId="168" fontId="5" fillId="0" borderId="0" xfId="10" applyFont="1"/>
    <xf numFmtId="168" fontId="4" fillId="0" borderId="0" xfId="10" applyFont="1" applyAlignment="1">
      <alignment horizontal="centerContinuous"/>
    </xf>
    <xf numFmtId="168" fontId="4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"/>
    </xf>
    <xf numFmtId="168" fontId="10" fillId="0" borderId="0" xfId="10" applyFont="1" applyAlignment="1">
      <alignment horizontal="center"/>
    </xf>
    <xf numFmtId="168" fontId="5" fillId="0" borderId="0" xfId="10" applyFont="1" applyAlignment="1">
      <alignment horizontal="center"/>
    </xf>
    <xf numFmtId="169" fontId="5" fillId="0" borderId="0" xfId="10" applyNumberFormat="1" applyFont="1"/>
    <xf numFmtId="44" fontId="5" fillId="0" borderId="0" xfId="2" applyFont="1" applyProtection="1"/>
    <xf numFmtId="39" fontId="5" fillId="0" borderId="0" xfId="10" applyNumberFormat="1" applyFont="1"/>
    <xf numFmtId="43" fontId="5" fillId="0" borderId="0" xfId="1" applyFont="1" applyProtection="1"/>
    <xf numFmtId="43" fontId="5" fillId="0" borderId="0" xfId="10" applyNumberFormat="1" applyFont="1"/>
    <xf numFmtId="43" fontId="5" fillId="0" borderId="5" xfId="1" applyFont="1" applyBorder="1" applyProtection="1"/>
    <xf numFmtId="43" fontId="5" fillId="0" borderId="5" xfId="10" applyNumberFormat="1" applyFont="1" applyBorder="1"/>
    <xf numFmtId="168" fontId="5" fillId="0" borderId="0" xfId="10" applyFont="1" applyAlignment="1">
      <alignment horizontal="right"/>
    </xf>
    <xf numFmtId="44" fontId="5" fillId="0" borderId="0" xfId="10" applyNumberFormat="1" applyFont="1"/>
    <xf numFmtId="7" fontId="5" fillId="0" borderId="0" xfId="10" applyNumberFormat="1" applyFont="1"/>
    <xf numFmtId="168" fontId="5" fillId="0" borderId="0" xfId="10" quotePrefix="1" applyFont="1" applyAlignment="1">
      <alignment horizontal="right"/>
    </xf>
    <xf numFmtId="44" fontId="5" fillId="0" borderId="7" xfId="10" applyNumberFormat="1" applyFont="1" applyBorder="1"/>
    <xf numFmtId="39" fontId="5" fillId="0" borderId="0" xfId="10" applyNumberFormat="1" applyFont="1" applyAlignment="1">
      <alignment horizontal="left"/>
    </xf>
    <xf numFmtId="43" fontId="5" fillId="0" borderId="0" xfId="11" applyNumberFormat="1" applyFont="1" applyProtection="1"/>
    <xf numFmtId="43" fontId="5" fillId="0" borderId="0" xfId="12" applyNumberFormat="1" applyFont="1" applyProtection="1"/>
    <xf numFmtId="43" fontId="5" fillId="0" borderId="5" xfId="12" applyNumberFormat="1" applyFont="1" applyBorder="1" applyProtection="1"/>
    <xf numFmtId="43" fontId="5" fillId="0" borderId="5" xfId="11" applyNumberFormat="1" applyFont="1" applyBorder="1" applyProtection="1"/>
    <xf numFmtId="40" fontId="5" fillId="0" borderId="0" xfId="11" applyFont="1" applyProtection="1"/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8" fontId="5" fillId="0" borderId="0" xfId="10" applyFont="1" applyAlignment="1">
      <alignment horizontal="left"/>
    </xf>
    <xf numFmtId="10" fontId="5" fillId="0" borderId="0" xfId="10" applyNumberFormat="1" applyFont="1"/>
    <xf numFmtId="168" fontId="5" fillId="0" borderId="0" xfId="10" quotePrefix="1" applyFont="1" applyAlignment="1">
      <alignment horizontal="left"/>
    </xf>
    <xf numFmtId="44" fontId="5" fillId="0" borderId="7" xfId="12" applyNumberFormat="1" applyFont="1" applyBorder="1" applyProtection="1"/>
    <xf numFmtId="10" fontId="5" fillId="0" borderId="0" xfId="10" applyNumberFormat="1" applyFont="1" applyAlignment="1">
      <alignment horizontal="right"/>
    </xf>
    <xf numFmtId="0" fontId="5" fillId="0" borderId="0" xfId="13" applyFont="1"/>
    <xf numFmtId="17" fontId="5" fillId="0" borderId="0" xfId="13" applyNumberFormat="1" applyFont="1"/>
    <xf numFmtId="4" fontId="5" fillId="0" borderId="0" xfId="13" applyNumberFormat="1" applyFont="1"/>
    <xf numFmtId="0" fontId="5" fillId="0" borderId="0" xfId="0" applyFont="1"/>
    <xf numFmtId="165" fontId="5" fillId="0" borderId="0" xfId="1" applyNumberFormat="1" applyFont="1" applyProtection="1"/>
    <xf numFmtId="43" fontId="5" fillId="0" borderId="0" xfId="1" applyFont="1"/>
    <xf numFmtId="167" fontId="5" fillId="0" borderId="0" xfId="10" applyNumberFormat="1" applyFont="1"/>
    <xf numFmtId="170" fontId="5" fillId="0" borderId="0" xfId="10" applyNumberFormat="1" applyFont="1"/>
    <xf numFmtId="44" fontId="5" fillId="0" borderId="0" xfId="7" applyNumberFormat="1" applyFont="1"/>
    <xf numFmtId="44" fontId="5" fillId="0" borderId="8" xfId="10" applyNumberFormat="1" applyFont="1" applyBorder="1"/>
    <xf numFmtId="17" fontId="5" fillId="0" borderId="0" xfId="2" applyNumberFormat="1" applyFont="1" applyProtection="1"/>
    <xf numFmtId="0" fontId="4" fillId="0" borderId="0" xfId="8" quotePrefix="1" applyFont="1" applyAlignment="1">
      <alignment horizontal="right"/>
    </xf>
    <xf numFmtId="0" fontId="5" fillId="0" borderId="0" xfId="7" applyFont="1" applyAlignment="1">
      <alignment horizontal="left"/>
    </xf>
    <xf numFmtId="0" fontId="5" fillId="0" borderId="2" xfId="7" applyFont="1" applyBorder="1" applyAlignment="1">
      <alignment horizontal="left"/>
    </xf>
    <xf numFmtId="0" fontId="5" fillId="0" borderId="5" xfId="7" applyFont="1" applyBorder="1" applyAlignment="1">
      <alignment horizontal="left"/>
    </xf>
    <xf numFmtId="0" fontId="5" fillId="0" borderId="5" xfId="8" applyFont="1" applyBorder="1"/>
    <xf numFmtId="168" fontId="5" fillId="0" borderId="2" xfId="10" applyFont="1" applyBorder="1" applyAlignment="1">
      <alignment horizontal="left"/>
    </xf>
    <xf numFmtId="0" fontId="5" fillId="0" borderId="0" xfId="8" applyFont="1"/>
    <xf numFmtId="0" fontId="4" fillId="0" borderId="2" xfId="4" applyFont="1" applyBorder="1" applyAlignment="1">
      <alignment horizontal="center"/>
    </xf>
    <xf numFmtId="0" fontId="4" fillId="0" borderId="0" xfId="10" applyNumberFormat="1" applyFont="1" applyAlignment="1">
      <alignment horizontal="center"/>
    </xf>
    <xf numFmtId="0" fontId="4" fillId="0" borderId="0" xfId="13" applyFont="1" applyAlignment="1">
      <alignment horizontal="center"/>
    </xf>
    <xf numFmtId="14" fontId="5" fillId="0" borderId="0" xfId="10" applyNumberFormat="1" applyFont="1"/>
    <xf numFmtId="39" fontId="5" fillId="0" borderId="0" xfId="8" applyNumberFormat="1" applyFont="1" applyAlignment="1">
      <alignment horizontal="center"/>
    </xf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right"/>
    </xf>
    <xf numFmtId="170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7" applyFont="1" applyAlignment="1">
      <alignment horizontal="center"/>
    </xf>
    <xf numFmtId="0" fontId="6" fillId="0" borderId="0" xfId="8" applyFont="1" applyAlignment="1">
      <alignment horizontal="center"/>
    </xf>
    <xf numFmtId="0" fontId="4" fillId="0" borderId="0" xfId="8" applyFont="1" applyAlignment="1">
      <alignment horizontal="center"/>
    </xf>
    <xf numFmtId="0" fontId="4" fillId="0" borderId="0" xfId="8" applyFont="1" applyAlignment="1">
      <alignment horizontal="right"/>
    </xf>
    <xf numFmtId="0" fontId="5" fillId="0" borderId="0" xfId="8" applyFont="1" applyAlignment="1">
      <alignment horizontal="right"/>
    </xf>
    <xf numFmtId="168" fontId="6" fillId="0" borderId="0" xfId="10" applyFont="1" applyAlignment="1">
      <alignment horizontal="center"/>
    </xf>
    <xf numFmtId="168" fontId="4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4" fillId="0" borderId="0" xfId="13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13" applyFont="1" applyAlignment="1">
      <alignment horizontal="center"/>
    </xf>
    <xf numFmtId="0" fontId="4" fillId="0" borderId="0" xfId="8" applyFont="1" applyAlignment="1">
      <alignment horizontal="left"/>
    </xf>
    <xf numFmtId="0" fontId="5" fillId="0" borderId="2" xfId="4" applyFont="1" applyBorder="1" applyAlignment="1"/>
    <xf numFmtId="166" fontId="4" fillId="0" borderId="0" xfId="8" applyNumberFormat="1" applyFont="1" applyAlignment="1"/>
    <xf numFmtId="0" fontId="4" fillId="0" borderId="0" xfId="8" applyFont="1" applyAlignment="1"/>
    <xf numFmtId="0" fontId="5" fillId="0" borderId="0" xfId="8" applyFont="1" applyAlignment="1"/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9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theme" Target="theme/theme1.xml"/><Relationship Id="rId98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2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6</xdr:row>
      <xdr:rowOff>101616</xdr:rowOff>
    </xdr:from>
    <xdr:to>
      <xdr:col>11</xdr:col>
      <xdr:colOff>165099</xdr:colOff>
      <xdr:row>57</xdr:row>
      <xdr:rowOff>33975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E69333-7697-4821-B422-EF39E3290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299" y="1054116"/>
          <a:ext cx="5591175" cy="7218984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66</xdr:row>
      <xdr:rowOff>34925</xdr:rowOff>
    </xdr:from>
    <xdr:to>
      <xdr:col>11</xdr:col>
      <xdr:colOff>557854</xdr:colOff>
      <xdr:row>80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E8A659-66E2-4076-85C8-D536113BD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9655175"/>
          <a:ext cx="6177604" cy="1997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6</xdr:row>
      <xdr:rowOff>95249</xdr:rowOff>
    </xdr:from>
    <xdr:ext cx="6550026" cy="8444064"/>
    <xdr:pic>
      <xdr:nvPicPr>
        <xdr:cNvPr id="2" name="Picture 1">
          <a:extLst>
            <a:ext uri="{FF2B5EF4-FFF2-40B4-BE49-F238E27FC236}">
              <a16:creationId xmlns:a16="http://schemas.microsoft.com/office/drawing/2014/main" id="{9248E88A-95E7-4A1C-8DAA-1E4690BA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974" y="1047749"/>
          <a:ext cx="6550026" cy="8444064"/>
        </a:xfrm>
        <a:prstGeom prst="rect">
          <a:avLst/>
        </a:prstGeom>
      </xdr:spPr>
    </xdr:pic>
    <xdr:clientData/>
  </xdr:oneCellAnchor>
  <xdr:oneCellAnchor>
    <xdr:from>
      <xdr:col>0</xdr:col>
      <xdr:colOff>3175</xdr:colOff>
      <xdr:row>77</xdr:row>
      <xdr:rowOff>3175</xdr:rowOff>
    </xdr:from>
    <xdr:ext cx="7473950" cy="2401269"/>
    <xdr:pic>
      <xdr:nvPicPr>
        <xdr:cNvPr id="3" name="Picture 2">
          <a:extLst>
            <a:ext uri="{FF2B5EF4-FFF2-40B4-BE49-F238E27FC236}">
              <a16:creationId xmlns:a16="http://schemas.microsoft.com/office/drawing/2014/main" id="{F6A084C6-F065-41B5-BA82-8D444F36A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" y="11195050"/>
          <a:ext cx="7473950" cy="2401269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6</xdr:row>
      <xdr:rowOff>92075</xdr:rowOff>
    </xdr:from>
    <xdr:to>
      <xdr:col>11</xdr:col>
      <xdr:colOff>503469</xdr:colOff>
      <xdr:row>62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502BDF-C53D-4B8A-B98F-C66A60DCF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44575"/>
          <a:ext cx="6186719" cy="803592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63502</xdr:colOff>
      <xdr:row>78</xdr:row>
      <xdr:rowOff>79375</xdr:rowOff>
    </xdr:from>
    <xdr:to>
      <xdr:col>11</xdr:col>
      <xdr:colOff>531246</xdr:colOff>
      <xdr:row>93</xdr:row>
      <xdr:rowOff>15875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A73113-0573-4583-808E-868DDB61E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2" y="11414125"/>
          <a:ext cx="6436744" cy="2079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3177</xdr:rowOff>
    </xdr:from>
    <xdr:to>
      <xdr:col>10</xdr:col>
      <xdr:colOff>381000</xdr:colOff>
      <xdr:row>63</xdr:row>
      <xdr:rowOff>50951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A78C071-E559-4B93-8DD6-FF01CEF1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57302"/>
          <a:ext cx="6216650" cy="804877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76</xdr:row>
      <xdr:rowOff>111125</xdr:rowOff>
    </xdr:from>
    <xdr:to>
      <xdr:col>10</xdr:col>
      <xdr:colOff>548630</xdr:colOff>
      <xdr:row>91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512C37-C9AC-4ACC-826F-72853A4CD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731625"/>
          <a:ext cx="6485880" cy="2095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149226</xdr:colOff>
      <xdr:row>6</xdr:row>
      <xdr:rowOff>92075</xdr:rowOff>
    </xdr:from>
    <xdr:to>
      <xdr:col>11</xdr:col>
      <xdr:colOff>561963</xdr:colOff>
      <xdr:row>63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E8385D-CC98-4ED8-B5AA-AF9594D13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6" y="1044575"/>
          <a:ext cx="6207112" cy="811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77</xdr:row>
      <xdr:rowOff>82552</xdr:rowOff>
    </xdr:from>
    <xdr:to>
      <xdr:col>11</xdr:col>
      <xdr:colOff>555625</xdr:colOff>
      <xdr:row>91</xdr:row>
      <xdr:rowOff>118118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9B5CD7-37BC-428C-AB7C-475D4BC6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1274427"/>
          <a:ext cx="6286499" cy="203581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6</xdr:row>
      <xdr:rowOff>95250</xdr:rowOff>
    </xdr:from>
    <xdr:to>
      <xdr:col>11</xdr:col>
      <xdr:colOff>384924</xdr:colOff>
      <xdr:row>63</xdr:row>
      <xdr:rowOff>63501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F4EAE8-C299-4DF5-9594-6B642B6F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238250"/>
          <a:ext cx="6249148" cy="8112126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79</xdr:row>
      <xdr:rowOff>127001</xdr:rowOff>
    </xdr:from>
    <xdr:to>
      <xdr:col>11</xdr:col>
      <xdr:colOff>540312</xdr:colOff>
      <xdr:row>94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D0606E-3197-4D3E-BB2E-B2D378A2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604626"/>
          <a:ext cx="6429937" cy="2079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6</xdr:row>
      <xdr:rowOff>123826</xdr:rowOff>
    </xdr:from>
    <xdr:to>
      <xdr:col>11</xdr:col>
      <xdr:colOff>470598</xdr:colOff>
      <xdr:row>63</xdr:row>
      <xdr:rowOff>95251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24D2427-1DFB-4022-9D73-C7F84A9AA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1076326"/>
          <a:ext cx="6277672" cy="8115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11</xdr:col>
      <xdr:colOff>545307</xdr:colOff>
      <xdr:row>92</xdr:row>
      <xdr:rowOff>79375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0060AA-6786-44FC-9A4E-B0DC9F0E9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1334750"/>
          <a:ext cx="6419057" cy="20796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117477</xdr:colOff>
      <xdr:row>7</xdr:row>
      <xdr:rowOff>38101</xdr:rowOff>
    </xdr:from>
    <xdr:to>
      <xdr:col>11</xdr:col>
      <xdr:colOff>364029</xdr:colOff>
      <xdr:row>63</xdr:row>
      <xdr:rowOff>127001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8117F34-DA66-4515-A2A1-9F5445A6D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77" y="1133476"/>
          <a:ext cx="6215552" cy="80899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77</xdr:row>
      <xdr:rowOff>120651</xdr:rowOff>
    </xdr:from>
    <xdr:to>
      <xdr:col>11</xdr:col>
      <xdr:colOff>571501</xdr:colOff>
      <xdr:row>92</xdr:row>
      <xdr:rowOff>75924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325F53-7B8B-464E-9740-7D93CA24C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1312526"/>
          <a:ext cx="6477000" cy="209839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231777</xdr:colOff>
      <xdr:row>6</xdr:row>
      <xdr:rowOff>139700</xdr:rowOff>
    </xdr:from>
    <xdr:to>
      <xdr:col>11</xdr:col>
      <xdr:colOff>510741</xdr:colOff>
      <xdr:row>63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7B22818-3D17-4833-A763-E3114D163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777" y="1092200"/>
          <a:ext cx="6247964" cy="80994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79376</xdr:colOff>
      <xdr:row>79</xdr:row>
      <xdr:rowOff>1</xdr:rowOff>
    </xdr:from>
    <xdr:to>
      <xdr:col>11</xdr:col>
      <xdr:colOff>571500</xdr:colOff>
      <xdr:row>93</xdr:row>
      <xdr:rowOff>96560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ED603E-5749-4A70-A351-1BFAE892C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6" y="11477626"/>
          <a:ext cx="6461124" cy="209680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6</xdr:row>
      <xdr:rowOff>133350</xdr:rowOff>
    </xdr:from>
    <xdr:to>
      <xdr:col>11</xdr:col>
      <xdr:colOff>476460</xdr:colOff>
      <xdr:row>63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7C4EDB-870B-4DF8-8303-9FBCE3EBA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1085850"/>
          <a:ext cx="6267660" cy="810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101601</xdr:colOff>
      <xdr:row>80</xdr:row>
      <xdr:rowOff>92076</xdr:rowOff>
    </xdr:from>
    <xdr:to>
      <xdr:col>11</xdr:col>
      <xdr:colOff>555625</xdr:colOff>
      <xdr:row>95</xdr:row>
      <xdr:rowOff>33396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79589C-F47B-4687-B2E6-E1A6E73F2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1" y="12141201"/>
          <a:ext cx="6423024" cy="208444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7</xdr:row>
      <xdr:rowOff>69850</xdr:rowOff>
    </xdr:from>
    <xdr:to>
      <xdr:col>11</xdr:col>
      <xdr:colOff>381000</xdr:colOff>
      <xdr:row>63</xdr:row>
      <xdr:rowOff>75895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413A16-D391-4651-9208-59D34E42A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1355725"/>
          <a:ext cx="6200775" cy="800704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79376</xdr:colOff>
      <xdr:row>79</xdr:row>
      <xdr:rowOff>111126</xdr:rowOff>
    </xdr:from>
    <xdr:to>
      <xdr:col>11</xdr:col>
      <xdr:colOff>561982</xdr:colOff>
      <xdr:row>94</xdr:row>
      <xdr:rowOff>63501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BF509D-F136-4CB1-A280-974F69EAE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6" y="11588751"/>
          <a:ext cx="6451606" cy="209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11815</xdr:colOff>
      <xdr:row>6</xdr:row>
      <xdr:rowOff>85724</xdr:rowOff>
    </xdr:from>
    <xdr:to>
      <xdr:col>10</xdr:col>
      <xdr:colOff>527059</xdr:colOff>
      <xdr:row>63</xdr:row>
      <xdr:rowOff>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F65CB7-E611-4901-8778-918DC9237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690" y="1038224"/>
          <a:ext cx="6261994" cy="8058152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74</xdr:row>
      <xdr:rowOff>28576</xdr:rowOff>
    </xdr:from>
    <xdr:to>
      <xdr:col>10</xdr:col>
      <xdr:colOff>539750</xdr:colOff>
      <xdr:row>88</xdr:row>
      <xdr:rowOff>120878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A22BDF-5BCD-4B02-A966-4A4220A6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" y="10791826"/>
          <a:ext cx="6492875" cy="209255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7</xdr:row>
      <xdr:rowOff>0</xdr:rowOff>
    </xdr:from>
    <xdr:to>
      <xdr:col>11</xdr:col>
      <xdr:colOff>452802</xdr:colOff>
      <xdr:row>63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942722-A681-49F9-B9A1-DAA6F0AA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5" y="1095375"/>
          <a:ext cx="6215427" cy="804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111126</xdr:colOff>
      <xdr:row>76</xdr:row>
      <xdr:rowOff>47625</xdr:rowOff>
    </xdr:from>
    <xdr:to>
      <xdr:col>11</xdr:col>
      <xdr:colOff>539414</xdr:colOff>
      <xdr:row>90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8C6907-B014-4EF1-918B-31122BE7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26" y="11382375"/>
          <a:ext cx="6397288" cy="20796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63501</xdr:rowOff>
    </xdr:from>
    <xdr:to>
      <xdr:col>11</xdr:col>
      <xdr:colOff>397274</xdr:colOff>
      <xdr:row>62</xdr:row>
      <xdr:rowOff>63501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82ED1D-FFCF-47D6-9B9A-DD0BD52F5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016001"/>
          <a:ext cx="6175774" cy="800100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78</xdr:row>
      <xdr:rowOff>60325</xdr:rowOff>
    </xdr:from>
    <xdr:to>
      <xdr:col>11</xdr:col>
      <xdr:colOff>523875</xdr:colOff>
      <xdr:row>92</xdr:row>
      <xdr:rowOff>141874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A36926-3CAB-4D4B-8429-F22B033A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00" y="11395075"/>
          <a:ext cx="6403975" cy="20817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53975</xdr:colOff>
      <xdr:row>8</xdr:row>
      <xdr:rowOff>15874</xdr:rowOff>
    </xdr:from>
    <xdr:ext cx="6747187" cy="8651875"/>
    <xdr:pic>
      <xdr:nvPicPr>
        <xdr:cNvPr id="2" name="Picture 1">
          <a:extLst>
            <a:ext uri="{FF2B5EF4-FFF2-40B4-BE49-F238E27FC236}">
              <a16:creationId xmlns:a16="http://schemas.microsoft.com/office/drawing/2014/main" id="{61058473-DC10-4FE7-AE7D-E868C926B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575" y="1311274"/>
          <a:ext cx="6747187" cy="86518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79375</xdr:rowOff>
    </xdr:from>
    <xdr:ext cx="7606468" cy="2447925"/>
    <xdr:pic>
      <xdr:nvPicPr>
        <xdr:cNvPr id="3" name="Picture 2">
          <a:extLst>
            <a:ext uri="{FF2B5EF4-FFF2-40B4-BE49-F238E27FC236}">
              <a16:creationId xmlns:a16="http://schemas.microsoft.com/office/drawing/2014/main" id="{5C93AFC1-A944-4C63-8FE4-802A7C09E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033375"/>
          <a:ext cx="7606468" cy="2447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6</xdr:row>
      <xdr:rowOff>130175</xdr:rowOff>
    </xdr:from>
    <xdr:to>
      <xdr:col>11</xdr:col>
      <xdr:colOff>466263</xdr:colOff>
      <xdr:row>60</xdr:row>
      <xdr:rowOff>111125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3C3360-F65A-470F-B18C-E8B5CD0EE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1" y="1082675"/>
          <a:ext cx="5930437" cy="76962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74</xdr:row>
      <xdr:rowOff>88901</xdr:rowOff>
    </xdr:from>
    <xdr:to>
      <xdr:col>11</xdr:col>
      <xdr:colOff>526324</xdr:colOff>
      <xdr:row>88</xdr:row>
      <xdr:rowOff>95251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186B71-5A0B-4E73-A054-DC915A79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0852151"/>
          <a:ext cx="6257198" cy="200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6</xdr:row>
      <xdr:rowOff>34927</xdr:rowOff>
    </xdr:from>
    <xdr:to>
      <xdr:col>11</xdr:col>
      <xdr:colOff>553207</xdr:colOff>
      <xdr:row>62</xdr:row>
      <xdr:rowOff>127001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B69B4F-5300-4441-ADE3-CAF51C4D2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987427"/>
          <a:ext cx="6233283" cy="8093074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73</xdr:row>
      <xdr:rowOff>127000</xdr:rowOff>
    </xdr:from>
    <xdr:to>
      <xdr:col>11</xdr:col>
      <xdr:colOff>555626</xdr:colOff>
      <xdr:row>88</xdr:row>
      <xdr:rowOff>8946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4987C3-B171-4A51-9598-13361E9E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0747375"/>
          <a:ext cx="6286500" cy="20250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269876</xdr:colOff>
      <xdr:row>7</xdr:row>
      <xdr:rowOff>82550</xdr:rowOff>
    </xdr:from>
    <xdr:to>
      <xdr:col>11</xdr:col>
      <xdr:colOff>498814</xdr:colOff>
      <xdr:row>63</xdr:row>
      <xdr:rowOff>79375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965B23-3A4C-4EFC-96B4-359BB252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876" y="1193800"/>
          <a:ext cx="6197938" cy="7997825"/>
        </a:xfrm>
        <a:prstGeom prst="rect">
          <a:avLst/>
        </a:prstGeom>
      </xdr:spPr>
    </xdr:pic>
    <xdr:clientData/>
  </xdr:twoCellAnchor>
  <xdr:twoCellAnchor editAs="oneCell">
    <xdr:from>
      <xdr:col>0</xdr:col>
      <xdr:colOff>53976</xdr:colOff>
      <xdr:row>76</xdr:row>
      <xdr:rowOff>31750</xdr:rowOff>
    </xdr:from>
    <xdr:to>
      <xdr:col>11</xdr:col>
      <xdr:colOff>559938</xdr:colOff>
      <xdr:row>90</xdr:row>
      <xdr:rowOff>111125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C60CF1-BC98-4661-9A9D-5ECAB333A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76" y="11096625"/>
          <a:ext cx="6474962" cy="207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6</xdr:row>
      <xdr:rowOff>111125</xdr:rowOff>
    </xdr:from>
    <xdr:to>
      <xdr:col>11</xdr:col>
      <xdr:colOff>495038</xdr:colOff>
      <xdr:row>63</xdr:row>
      <xdr:rowOff>15875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B959321-AC6E-4346-A4D7-A80CE1CC2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63625"/>
          <a:ext cx="6206863" cy="804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149226</xdr:colOff>
      <xdr:row>75</xdr:row>
      <xdr:rowOff>63500</xdr:rowOff>
    </xdr:from>
    <xdr:to>
      <xdr:col>11</xdr:col>
      <xdr:colOff>556334</xdr:colOff>
      <xdr:row>89</xdr:row>
      <xdr:rowOff>111125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2BE954-2549-4AF4-B7B7-C11B457C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226" y="10969625"/>
          <a:ext cx="6376108" cy="2047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7</xdr:row>
      <xdr:rowOff>15875</xdr:rowOff>
    </xdr:from>
    <xdr:to>
      <xdr:col>11</xdr:col>
      <xdr:colOff>522725</xdr:colOff>
      <xdr:row>63</xdr:row>
      <xdr:rowOff>31750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0B5D1C-5879-4FC4-98B7-57AE4AA10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4" y="1111250"/>
          <a:ext cx="6196451" cy="80168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77</xdr:row>
      <xdr:rowOff>95250</xdr:rowOff>
    </xdr:from>
    <xdr:to>
      <xdr:col>11</xdr:col>
      <xdr:colOff>558543</xdr:colOff>
      <xdr:row>92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30528D-E32A-42E9-AA77-91DC3FC0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1287125"/>
          <a:ext cx="6464042" cy="2079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60326</xdr:rowOff>
    </xdr:from>
    <xdr:to>
      <xdr:col>11</xdr:col>
      <xdr:colOff>452554</xdr:colOff>
      <xdr:row>62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7A5DC6-5329-4FDC-BDCC-99A667507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5" y="1155701"/>
          <a:ext cx="6119929" cy="789304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78</xdr:row>
      <xdr:rowOff>69851</xdr:rowOff>
    </xdr:from>
    <xdr:to>
      <xdr:col>11</xdr:col>
      <xdr:colOff>571500</xdr:colOff>
      <xdr:row>93</xdr:row>
      <xdr:rowOff>11716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D5F1FF-78B4-4730-9C53-E4F48B81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1" y="11404601"/>
          <a:ext cx="6464299" cy="20849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155574</xdr:colOff>
      <xdr:row>7</xdr:row>
      <xdr:rowOff>38100</xdr:rowOff>
    </xdr:from>
    <xdr:to>
      <xdr:col>11</xdr:col>
      <xdr:colOff>475618</xdr:colOff>
      <xdr:row>61</xdr:row>
      <xdr:rowOff>79375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6337601-17D9-471A-9F4B-AA73A0FBE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" y="1133475"/>
          <a:ext cx="5987419" cy="77565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76</xdr:row>
      <xdr:rowOff>0</xdr:rowOff>
    </xdr:from>
    <xdr:to>
      <xdr:col>11</xdr:col>
      <xdr:colOff>566518</xdr:colOff>
      <xdr:row>90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CECAF7-1962-4E86-A9AD-49A9D002F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049000"/>
          <a:ext cx="6456143" cy="2047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q12_2000\CB3DustCollec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talWO"/>
      <sheetName val="Acct1"/>
      <sheetName val="Acct2"/>
      <sheetName val="Acct3"/>
      <sheetName val="Acct4"/>
      <sheetName val="Acct5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activeCell="C3" sqref="C3"/>
    </sheetView>
  </sheetViews>
  <sheetFormatPr defaultColWidth="8" defaultRowHeight="11.25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>
      <c r="A1" s="111"/>
      <c r="B1" s="111"/>
      <c r="C1" s="111"/>
      <c r="D1" s="111"/>
      <c r="E1" s="111"/>
      <c r="F1" s="111"/>
      <c r="G1" s="111"/>
      <c r="H1" s="111"/>
    </row>
    <row r="2" spans="1:8">
      <c r="A2" s="111"/>
      <c r="B2" s="111"/>
      <c r="C2" s="111"/>
      <c r="D2" s="111"/>
      <c r="E2" s="111"/>
      <c r="F2" s="111"/>
      <c r="G2" s="111"/>
      <c r="H2" s="111"/>
    </row>
    <row r="4" spans="1:8">
      <c r="A4" s="111"/>
      <c r="B4" s="111"/>
      <c r="C4" s="111"/>
      <c r="D4" s="111"/>
      <c r="E4" s="111"/>
      <c r="F4" s="111"/>
      <c r="G4" s="111"/>
      <c r="H4" s="111"/>
    </row>
    <row r="5" spans="1:8">
      <c r="A5" s="111" t="s">
        <v>0</v>
      </c>
      <c r="B5" s="111"/>
      <c r="C5" s="111"/>
      <c r="D5" s="111"/>
      <c r="E5" s="111"/>
      <c r="F5" s="111"/>
      <c r="G5" s="111"/>
      <c r="H5" s="111"/>
    </row>
    <row r="6" spans="1:8">
      <c r="A6" s="4" t="s">
        <v>1</v>
      </c>
    </row>
    <row r="7" spans="1:8" ht="12" thickBot="1">
      <c r="A7" s="2" t="s">
        <v>2</v>
      </c>
      <c r="C7" s="110" t="s">
        <v>3</v>
      </c>
      <c r="D7" s="125"/>
      <c r="F7" s="98" t="s">
        <v>4</v>
      </c>
      <c r="H7" s="98" t="s">
        <v>5</v>
      </c>
    </row>
    <row r="8" spans="1:8">
      <c r="A8" s="4"/>
      <c r="C8" s="109" t="s">
        <v>6</v>
      </c>
      <c r="D8" s="109"/>
      <c r="F8" s="31" t="s">
        <v>7</v>
      </c>
      <c r="H8" s="31" t="s">
        <v>8</v>
      </c>
    </row>
    <row r="9" spans="1:8">
      <c r="A9" s="4"/>
      <c r="C9" s="31"/>
      <c r="F9" s="31"/>
      <c r="H9" s="31"/>
    </row>
    <row r="10" spans="1:8">
      <c r="A10" s="1">
        <v>1</v>
      </c>
      <c r="C10" s="1" t="s">
        <v>9</v>
      </c>
    </row>
    <row r="11" spans="1:8">
      <c r="A11" s="1">
        <f t="shared" ref="A11:A34" si="0">A10+1</f>
        <v>2</v>
      </c>
      <c r="C11" s="1" t="s">
        <v>10</v>
      </c>
      <c r="F11" s="3" t="s">
        <v>10</v>
      </c>
      <c r="H11" s="1" t="s">
        <v>10</v>
      </c>
    </row>
    <row r="12" spans="1:8">
      <c r="A12" s="1">
        <f t="shared" si="0"/>
        <v>3</v>
      </c>
      <c r="C12" s="4" t="s">
        <v>11</v>
      </c>
      <c r="H12" s="1" t="s">
        <v>10</v>
      </c>
    </row>
    <row r="13" spans="1:8">
      <c r="A13" s="1">
        <f t="shared" si="0"/>
        <v>4</v>
      </c>
    </row>
    <row r="14" spans="1:8">
      <c r="A14" s="1">
        <f t="shared" si="0"/>
        <v>5</v>
      </c>
      <c r="C14" s="4" t="s">
        <v>12</v>
      </c>
      <c r="D14" s="5" t="s">
        <v>10</v>
      </c>
    </row>
    <row r="15" spans="1:8">
      <c r="A15" s="1">
        <f t="shared" si="0"/>
        <v>6</v>
      </c>
      <c r="C15" s="1" t="s">
        <v>13</v>
      </c>
      <c r="D15" s="5" t="s">
        <v>10</v>
      </c>
      <c r="F15" s="6">
        <f>'WP C, pg 2 &amp; 3'!F35</f>
        <v>0</v>
      </c>
      <c r="H15" s="1" t="s">
        <v>14</v>
      </c>
    </row>
    <row r="16" spans="1:8">
      <c r="A16" s="1">
        <f t="shared" si="0"/>
        <v>7</v>
      </c>
      <c r="C16" s="1" t="s">
        <v>15</v>
      </c>
      <c r="F16" s="3">
        <f>SUM('WP C, pg 2 &amp; 3'!H35)</f>
        <v>0</v>
      </c>
      <c r="H16" s="1" t="s">
        <v>14</v>
      </c>
    </row>
    <row r="17" spans="1:8">
      <c r="A17" s="1">
        <f t="shared" si="0"/>
        <v>8</v>
      </c>
      <c r="C17" s="1" t="s">
        <v>16</v>
      </c>
      <c r="F17" s="7">
        <f>SUM('WP C, pg 2 &amp; 3'!J35)</f>
        <v>0</v>
      </c>
      <c r="H17" s="1" t="s">
        <v>14</v>
      </c>
    </row>
    <row r="18" spans="1:8">
      <c r="A18" s="1">
        <f t="shared" si="0"/>
        <v>9</v>
      </c>
      <c r="C18" s="1" t="s">
        <v>17</v>
      </c>
      <c r="F18" s="7">
        <f>SUM('WP C, pg 2 &amp; 3'!L35)</f>
        <v>16894404</v>
      </c>
      <c r="H18" s="1" t="s">
        <v>14</v>
      </c>
    </row>
    <row r="19" spans="1:8" ht="12" thickBot="1">
      <c r="A19" s="1">
        <f t="shared" si="0"/>
        <v>10</v>
      </c>
      <c r="C19" s="1" t="s">
        <v>18</v>
      </c>
      <c r="F19" s="7">
        <f>SUM('WP C, pg 2 &amp; 3'!N35)</f>
        <v>0</v>
      </c>
      <c r="H19" s="1" t="s">
        <v>14</v>
      </c>
    </row>
    <row r="20" spans="1:8" ht="12" thickBot="1">
      <c r="A20" s="1">
        <f t="shared" si="0"/>
        <v>11</v>
      </c>
      <c r="C20" s="4" t="s">
        <v>19</v>
      </c>
      <c r="F20" s="8">
        <f>SUM(F15:F19)</f>
        <v>16894404</v>
      </c>
      <c r="H20" s="1" t="s">
        <v>20</v>
      </c>
    </row>
    <row r="21" spans="1:8">
      <c r="A21" s="1">
        <f t="shared" si="0"/>
        <v>12</v>
      </c>
    </row>
    <row r="22" spans="1:8">
      <c r="A22" s="1">
        <f t="shared" si="0"/>
        <v>13</v>
      </c>
      <c r="C22" s="4" t="s">
        <v>21</v>
      </c>
    </row>
    <row r="23" spans="1:8">
      <c r="A23" s="1">
        <f t="shared" si="0"/>
        <v>14</v>
      </c>
      <c r="C23" s="1" t="s">
        <v>13</v>
      </c>
      <c r="D23" s="5" t="s">
        <v>10</v>
      </c>
      <c r="F23" s="6">
        <f>SUM('WP C, pg 2 &amp; 3'!F78)</f>
        <v>0</v>
      </c>
      <c r="H23" s="1" t="s">
        <v>22</v>
      </c>
    </row>
    <row r="24" spans="1:8">
      <c r="A24" s="1">
        <f t="shared" si="0"/>
        <v>15</v>
      </c>
      <c r="C24" s="1" t="s">
        <v>15</v>
      </c>
      <c r="F24" s="3">
        <f>SUM('WP C, pg 2 &amp; 3'!H78)</f>
        <v>0</v>
      </c>
      <c r="H24" s="1" t="s">
        <v>22</v>
      </c>
    </row>
    <row r="25" spans="1:8">
      <c r="A25" s="1">
        <f t="shared" si="0"/>
        <v>16</v>
      </c>
      <c r="C25" s="1" t="s">
        <v>16</v>
      </c>
      <c r="F25" s="7">
        <f>SUM('WP C, pg 2 &amp; 3'!J78)</f>
        <v>0</v>
      </c>
      <c r="H25" s="1" t="s">
        <v>22</v>
      </c>
    </row>
    <row r="26" spans="1:8">
      <c r="A26" s="1">
        <f t="shared" si="0"/>
        <v>17</v>
      </c>
      <c r="C26" s="1" t="s">
        <v>17</v>
      </c>
      <c r="F26" s="7">
        <f>SUM('WP C, pg 2 &amp; 3'!L78)</f>
        <v>205267.33000000005</v>
      </c>
      <c r="H26" s="1" t="s">
        <v>22</v>
      </c>
    </row>
    <row r="27" spans="1:8" ht="12" thickBot="1">
      <c r="A27" s="1">
        <f t="shared" si="0"/>
        <v>18</v>
      </c>
      <c r="C27" s="1" t="s">
        <v>18</v>
      </c>
      <c r="F27" s="7">
        <f>SUM('WP C, pg 2 &amp; 3'!N78)</f>
        <v>0</v>
      </c>
      <c r="H27" s="1" t="s">
        <v>22</v>
      </c>
    </row>
    <row r="28" spans="1:8" ht="12" thickBot="1">
      <c r="A28" s="1">
        <f t="shared" si="0"/>
        <v>19</v>
      </c>
      <c r="C28" s="4" t="s">
        <v>23</v>
      </c>
      <c r="F28" s="8">
        <f>SUM(F23:F27)</f>
        <v>205267.33000000005</v>
      </c>
      <c r="H28" s="1" t="s">
        <v>20</v>
      </c>
    </row>
    <row r="29" spans="1:8">
      <c r="A29" s="1">
        <f t="shared" si="0"/>
        <v>20</v>
      </c>
    </row>
    <row r="30" spans="1:8" ht="12" thickBot="1">
      <c r="A30" s="1">
        <f t="shared" si="0"/>
        <v>21</v>
      </c>
      <c r="C30" s="4" t="s">
        <v>24</v>
      </c>
    </row>
    <row r="31" spans="1:8" ht="12" thickBot="1">
      <c r="A31" s="1">
        <f t="shared" si="0"/>
        <v>22</v>
      </c>
      <c r="C31" s="83" t="s">
        <v>25</v>
      </c>
      <c r="F31" s="8">
        <f>+'WP C, pg 2 &amp; 3'!T78</f>
        <v>28959.030000000006</v>
      </c>
      <c r="H31" s="1" t="s">
        <v>22</v>
      </c>
    </row>
    <row r="32" spans="1:8">
      <c r="A32" s="1">
        <f t="shared" si="0"/>
        <v>23</v>
      </c>
      <c r="H32" s="1" t="s">
        <v>20</v>
      </c>
    </row>
    <row r="33" spans="1:8" ht="12" thickBot="1">
      <c r="A33" s="1">
        <f t="shared" si="0"/>
        <v>24</v>
      </c>
      <c r="C33" s="4" t="s">
        <v>26</v>
      </c>
    </row>
    <row r="34" spans="1:8" ht="12" thickBot="1">
      <c r="A34" s="1">
        <f t="shared" si="0"/>
        <v>25</v>
      </c>
      <c r="C34" s="4" t="s">
        <v>27</v>
      </c>
      <c r="F34" s="9">
        <f>SUM('WP C, pg 2 &amp; 3'!R78)</f>
        <v>378954.96</v>
      </c>
      <c r="H34" s="1" t="s">
        <v>22</v>
      </c>
    </row>
    <row r="35" spans="1:8">
      <c r="H35" s="1" t="s">
        <v>28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140625" style="80" customWidth="1"/>
    <col min="2" max="2" width="0.85546875" style="80" customWidth="1"/>
    <col min="3" max="3" width="9.140625" style="80"/>
    <col min="4" max="4" width="0.85546875" style="80" customWidth="1"/>
    <col min="5" max="6" width="9.140625" style="80"/>
    <col min="7" max="7" width="17" style="80" customWidth="1"/>
    <col min="8" max="8" width="16.7109375" style="80" customWidth="1"/>
    <col min="9" max="9" width="14.42578125" style="80" customWidth="1"/>
    <col min="10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5.5" customHeight="1">
      <c r="A3" s="121" t="str">
        <f>'G99BW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'G99BW Input'!F6</f>
        <v>SFS: NW 250 PSIG Expansion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27" customHeight="1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SFS: NW 250 PSIG Expansion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73:L73"/>
    <mergeCell ref="A1:L1"/>
    <mergeCell ref="A2:L2"/>
    <mergeCell ref="A3:L3"/>
    <mergeCell ref="A4:L4"/>
    <mergeCell ref="A5:L5"/>
    <mergeCell ref="A6:L6"/>
    <mergeCell ref="A68:L68"/>
    <mergeCell ref="A69:L69"/>
    <mergeCell ref="A70:L70"/>
    <mergeCell ref="A71:L71"/>
    <mergeCell ref="A72:L72"/>
  </mergeCells>
  <pageMargins left="0.75" right="0.75" top="1" bottom="1" header="0.5" footer="0.5"/>
  <pageSetup scale="89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5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6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153</v>
      </c>
      <c r="E6" s="34"/>
      <c r="F6" s="127" t="s">
        <v>154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7" t="s">
        <v>155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44835</v>
      </c>
    </row>
    <row r="28" spans="1:10">
      <c r="A28" s="36">
        <v>16</v>
      </c>
      <c r="B28" s="34" t="s">
        <v>97</v>
      </c>
      <c r="D28" s="108">
        <v>494462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156</v>
      </c>
    </row>
    <row r="33" spans="2:2">
      <c r="B33" s="44" t="s">
        <v>157</v>
      </c>
    </row>
    <row r="34" spans="2:2">
      <c r="B34" s="44" t="s">
        <v>158</v>
      </c>
    </row>
    <row r="35" spans="2:2">
      <c r="B35" s="44" t="s">
        <v>159</v>
      </c>
    </row>
    <row r="36" spans="2:2">
      <c r="B36" s="44" t="s">
        <v>160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1.75" customHeight="1">
      <c r="A3" s="49" t="str">
        <f>'G9BAL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'G9BAL Input'!F6</f>
        <v>SFS: Minnesota Ave Russell-3rd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'G9BAL Input'!B13</f>
        <v>44180</v>
      </c>
      <c r="D15" s="55"/>
      <c r="E15" s="56">
        <f>'G9BAL Input'!D13*'G9BAL Input'!$D$7*'G9BAL Input'!$H$7</f>
        <v>0</v>
      </c>
      <c r="F15" s="57"/>
      <c r="G15" s="56">
        <f>'G9BAL Input'!D27*'G9BAL Input'!D6*'G9BAL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'G9BAL Input'!B14</f>
        <v>44211</v>
      </c>
      <c r="D16" s="55"/>
      <c r="E16" s="58">
        <f>'G9BAL Input'!D14*'G9BAL Input'!$D$7*'G9BAL Input'!$H$7</f>
        <v>0</v>
      </c>
      <c r="F16" s="57"/>
      <c r="G16" s="58">
        <f>'G9BAL Input'!D28*'G9BAL Input'!D7*'G9BAL Input'!H7</f>
        <v>494462</v>
      </c>
      <c r="H16" s="57"/>
      <c r="I16" s="58">
        <f t="shared" si="0"/>
        <v>494462</v>
      </c>
    </row>
    <row r="17" spans="1:10">
      <c r="A17" s="48">
        <f t="shared" si="1"/>
        <v>3</v>
      </c>
      <c r="C17" s="55">
        <f>'G9BAL Input'!B15</f>
        <v>44241</v>
      </c>
      <c r="D17" s="55"/>
      <c r="E17" s="58">
        <f>'G9BAL Input'!D15*'G9BAL Input'!$D$7*'G9BAL Input'!$H$7</f>
        <v>0</v>
      </c>
      <c r="F17" s="57"/>
      <c r="G17" s="59">
        <f t="shared" ref="G17:G27" si="2">$G$16</f>
        <v>494462</v>
      </c>
      <c r="H17" s="57"/>
      <c r="I17" s="59">
        <f t="shared" si="0"/>
        <v>494462</v>
      </c>
      <c r="J17" s="57"/>
    </row>
    <row r="18" spans="1:10">
      <c r="A18" s="48">
        <f t="shared" si="1"/>
        <v>4</v>
      </c>
      <c r="C18" s="55">
        <f>'G9BAL Input'!B16</f>
        <v>44271</v>
      </c>
      <c r="D18" s="55"/>
      <c r="E18" s="58">
        <f>'G9BAL Input'!D16*'G9BAL Input'!$D$7*'G9BAL Input'!$H$7</f>
        <v>0</v>
      </c>
      <c r="F18" s="57"/>
      <c r="G18" s="59">
        <f t="shared" si="2"/>
        <v>494462</v>
      </c>
      <c r="H18" s="57"/>
      <c r="I18" s="59">
        <f t="shared" si="0"/>
        <v>494462</v>
      </c>
      <c r="J18" s="57"/>
    </row>
    <row r="19" spans="1:10">
      <c r="A19" s="48">
        <f t="shared" si="1"/>
        <v>5</v>
      </c>
      <c r="C19" s="55">
        <f>'G9BAL Input'!B17</f>
        <v>44301</v>
      </c>
      <c r="D19" s="55"/>
      <c r="E19" s="58">
        <f>'G9BAL Input'!D17*'G9BAL Input'!$D$7*'G9BAL Input'!$H$7</f>
        <v>0</v>
      </c>
      <c r="F19" s="57"/>
      <c r="G19" s="59">
        <f t="shared" si="2"/>
        <v>494462</v>
      </c>
      <c r="H19" s="57"/>
      <c r="I19" s="59">
        <f t="shared" si="0"/>
        <v>494462</v>
      </c>
      <c r="J19" s="57"/>
    </row>
    <row r="20" spans="1:10">
      <c r="A20" s="48">
        <f t="shared" si="1"/>
        <v>6</v>
      </c>
      <c r="C20" s="55">
        <f>'G9BAL Input'!B18</f>
        <v>44331</v>
      </c>
      <c r="D20" s="55"/>
      <c r="E20" s="58">
        <f>'G9BAL Input'!D18*'G9BAL Input'!$D$7*'G9BAL Input'!$H$7</f>
        <v>0</v>
      </c>
      <c r="F20" s="57"/>
      <c r="G20" s="59">
        <f t="shared" si="2"/>
        <v>494462</v>
      </c>
      <c r="H20" s="57"/>
      <c r="I20" s="59">
        <f t="shared" si="0"/>
        <v>494462</v>
      </c>
      <c r="J20" s="57"/>
    </row>
    <row r="21" spans="1:10">
      <c r="A21" s="48">
        <f t="shared" si="1"/>
        <v>7</v>
      </c>
      <c r="C21" s="55">
        <f>'G9BAL Input'!B19</f>
        <v>44361</v>
      </c>
      <c r="D21" s="55"/>
      <c r="E21" s="58">
        <f>'G9BAL Input'!D19*'G9BAL Input'!$D$7*'G9BAL Input'!$H$7</f>
        <v>0</v>
      </c>
      <c r="F21" s="57"/>
      <c r="G21" s="59">
        <f t="shared" si="2"/>
        <v>494462</v>
      </c>
      <c r="H21" s="57"/>
      <c r="I21" s="59">
        <f t="shared" si="0"/>
        <v>494462</v>
      </c>
      <c r="J21" s="57"/>
    </row>
    <row r="22" spans="1:10">
      <c r="A22" s="48">
        <f t="shared" si="1"/>
        <v>8</v>
      </c>
      <c r="C22" s="55">
        <f>'G9BAL Input'!B20</f>
        <v>44391</v>
      </c>
      <c r="D22" s="55"/>
      <c r="E22" s="58">
        <f>'G9BAL Input'!D20*'G9BAL Input'!$D$7*'G9BAL Input'!$H$7</f>
        <v>0</v>
      </c>
      <c r="F22" s="57"/>
      <c r="G22" s="59">
        <f t="shared" si="2"/>
        <v>494462</v>
      </c>
      <c r="H22" s="57"/>
      <c r="I22" s="59">
        <f t="shared" si="0"/>
        <v>494462</v>
      </c>
      <c r="J22" s="57"/>
    </row>
    <row r="23" spans="1:10">
      <c r="A23" s="48">
        <f t="shared" si="1"/>
        <v>9</v>
      </c>
      <c r="C23" s="55">
        <f>'G9BAL Input'!B21</f>
        <v>44421</v>
      </c>
      <c r="D23" s="55"/>
      <c r="E23" s="58">
        <f>'G9BAL Input'!D21*'G9BAL Input'!$D$7*'G9BAL Input'!$H$7</f>
        <v>0</v>
      </c>
      <c r="F23" s="57"/>
      <c r="G23" s="59">
        <f t="shared" si="2"/>
        <v>494462</v>
      </c>
      <c r="H23" s="57"/>
      <c r="I23" s="59">
        <f t="shared" si="0"/>
        <v>494462</v>
      </c>
      <c r="J23" s="57"/>
    </row>
    <row r="24" spans="1:10">
      <c r="A24" s="48">
        <f t="shared" si="1"/>
        <v>10</v>
      </c>
      <c r="C24" s="55">
        <f>'G9BAL Input'!B22</f>
        <v>44451</v>
      </c>
      <c r="D24" s="55"/>
      <c r="E24" s="58">
        <f>'G9BAL Input'!D22*'G9BAL Input'!$D$7*'G9BAL Input'!$H$7</f>
        <v>0</v>
      </c>
      <c r="F24" s="57"/>
      <c r="G24" s="59">
        <f t="shared" si="2"/>
        <v>494462</v>
      </c>
      <c r="H24" s="57"/>
      <c r="I24" s="59">
        <f t="shared" si="0"/>
        <v>494462</v>
      </c>
      <c r="J24" s="57"/>
    </row>
    <row r="25" spans="1:10">
      <c r="A25" s="48">
        <f t="shared" si="1"/>
        <v>11</v>
      </c>
      <c r="C25" s="55">
        <f>'G9BAL Input'!B23</f>
        <v>44481</v>
      </c>
      <c r="D25" s="55"/>
      <c r="E25" s="58">
        <f>'G9BAL Input'!D23*'G9BAL Input'!$D$7*'G9BAL Input'!$H$7</f>
        <v>0</v>
      </c>
      <c r="F25" s="57"/>
      <c r="G25" s="59">
        <f t="shared" si="2"/>
        <v>494462</v>
      </c>
      <c r="H25" s="57"/>
      <c r="I25" s="59">
        <f t="shared" si="0"/>
        <v>494462</v>
      </c>
      <c r="J25" s="57"/>
    </row>
    <row r="26" spans="1:10">
      <c r="A26" s="48">
        <f t="shared" si="1"/>
        <v>12</v>
      </c>
      <c r="C26" s="55">
        <f>'G9BAL Input'!B24</f>
        <v>44511</v>
      </c>
      <c r="D26" s="55"/>
      <c r="E26" s="58">
        <f>'G9BAL Input'!D24*'G9BAL Input'!$D$7*'G9BAL Input'!$H$7</f>
        <v>0</v>
      </c>
      <c r="F26" s="57"/>
      <c r="G26" s="59">
        <f t="shared" si="2"/>
        <v>494462</v>
      </c>
      <c r="H26" s="57"/>
      <c r="I26" s="59">
        <f t="shared" si="0"/>
        <v>494462</v>
      </c>
      <c r="J26" s="57"/>
    </row>
    <row r="27" spans="1:10">
      <c r="A27" s="48">
        <f t="shared" si="1"/>
        <v>13</v>
      </c>
      <c r="C27" s="55">
        <f>'G9BAL Input'!B25</f>
        <v>44541</v>
      </c>
      <c r="D27" s="55"/>
      <c r="E27" s="60">
        <f>'G9BAL Input'!D25*'G9BAL Input'!$D$7*'G9BAL Input'!$H$7</f>
        <v>0</v>
      </c>
      <c r="F27" s="57"/>
      <c r="G27" s="61">
        <f t="shared" si="2"/>
        <v>494462</v>
      </c>
      <c r="H27" s="57"/>
      <c r="I27" s="61">
        <f t="shared" si="0"/>
        <v>494462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5933544</v>
      </c>
      <c r="H28" s="64"/>
      <c r="I28" s="63">
        <f>SUM(I16:I27)</f>
        <v>5933544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494462</v>
      </c>
      <c r="H30" s="64"/>
      <c r="I30" s="66">
        <f>ROUND(+I28/12,2)</f>
        <v>494462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494462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1"/>
  <sheetViews>
    <sheetView view="pageLayout" topLeftCell="A39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'G9BAL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'G9BAL Input'!F6</f>
        <v>SFS: Minnesota Ave Russell-3rd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'G9BAL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48" t="s">
        <v>108</v>
      </c>
      <c r="E11" s="51" t="str">
        <f>"Acct "&amp;'G9BAL Input'!F13</f>
        <v>Acct 2.376.00</v>
      </c>
      <c r="F11" s="51"/>
      <c r="G11" s="51"/>
      <c r="H11" s="51"/>
      <c r="I11" s="51"/>
    </row>
    <row r="12" spans="1:12" ht="12" thickBot="1">
      <c r="A12" s="52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'G9BAL TotalWO'!C15</f>
        <v>44180</v>
      </c>
      <c r="D15" s="55"/>
      <c r="E15" s="56">
        <f>'G9BAL TotalWO'!E15*'G9BAL Input'!$H$13</f>
        <v>0</v>
      </c>
      <c r="F15" s="68"/>
      <c r="G15" s="56">
        <f>'G9BAL TotalWO'!G15*'G9BAL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'G9BAL TotalWO'!C16</f>
        <v>44211</v>
      </c>
      <c r="D16" s="55"/>
      <c r="E16" s="58">
        <f>'G9BAL TotalWO'!E16*'G9BAL Input'!$H$13</f>
        <v>0</v>
      </c>
      <c r="F16" s="68"/>
      <c r="G16" s="58">
        <f>'G9BAL TotalWO'!G16*'G9BAL Input'!$H$13</f>
        <v>494462</v>
      </c>
      <c r="H16" s="59"/>
      <c r="I16" s="58">
        <f t="shared" si="0"/>
        <v>494462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'G9BAL TotalWO'!E17*'G9BAL Input'!$H$13</f>
        <v>0</v>
      </c>
      <c r="F17" s="68"/>
      <c r="G17" s="68">
        <f>'G9BAL TotalWO'!G17*'G9BAL Input'!$H$13</f>
        <v>494462</v>
      </c>
      <c r="H17" s="59"/>
      <c r="I17" s="59">
        <f t="shared" si="0"/>
        <v>494462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'G9BAL TotalWO'!E18*'G9BAL Input'!$H$13</f>
        <v>0</v>
      </c>
      <c r="F18" s="68"/>
      <c r="G18" s="68">
        <f>'G9BAL TotalWO'!G18*'G9BAL Input'!$H$13</f>
        <v>494462</v>
      </c>
      <c r="H18" s="59"/>
      <c r="I18" s="59">
        <f t="shared" si="0"/>
        <v>494462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'G9BAL TotalWO'!E19*'G9BAL Input'!$H$13</f>
        <v>0</v>
      </c>
      <c r="F19" s="68"/>
      <c r="G19" s="68">
        <f>'G9BAL TotalWO'!G19*'G9BAL Input'!$H$13</f>
        <v>494462</v>
      </c>
      <c r="H19" s="59"/>
      <c r="I19" s="59">
        <f t="shared" si="0"/>
        <v>494462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'G9BAL TotalWO'!E20*'G9BAL Input'!$H$13</f>
        <v>0</v>
      </c>
      <c r="F20" s="68"/>
      <c r="G20" s="68">
        <f>'G9BAL TotalWO'!G20*'G9BAL Input'!$H$13</f>
        <v>494462</v>
      </c>
      <c r="H20" s="59"/>
      <c r="I20" s="59">
        <f t="shared" si="0"/>
        <v>494462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'G9BAL TotalWO'!E21*'G9BAL Input'!$H$13</f>
        <v>0</v>
      </c>
      <c r="F21" s="68"/>
      <c r="G21" s="68">
        <f>'G9BAL TotalWO'!G21*'G9BAL Input'!$H$13</f>
        <v>494462</v>
      </c>
      <c r="H21" s="59"/>
      <c r="I21" s="59">
        <f t="shared" si="0"/>
        <v>494462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'G9BAL TotalWO'!E22*'G9BAL Input'!$H$13</f>
        <v>0</v>
      </c>
      <c r="F22" s="68"/>
      <c r="G22" s="68">
        <f>'G9BAL TotalWO'!G22*'G9BAL Input'!$H$13</f>
        <v>494462</v>
      </c>
      <c r="H22" s="59"/>
      <c r="I22" s="59">
        <f t="shared" si="0"/>
        <v>494462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'G9BAL TotalWO'!E23*'G9BAL Input'!$H$13</f>
        <v>0</v>
      </c>
      <c r="F23" s="68"/>
      <c r="G23" s="68">
        <f>'G9BAL TotalWO'!G23*'G9BAL Input'!$H$13</f>
        <v>494462</v>
      </c>
      <c r="H23" s="59"/>
      <c r="I23" s="59">
        <f t="shared" si="0"/>
        <v>494462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'G9BAL TotalWO'!E24*'G9BAL Input'!$H$13</f>
        <v>0</v>
      </c>
      <c r="F24" s="68"/>
      <c r="G24" s="68">
        <f>'G9BAL TotalWO'!G24*'G9BAL Input'!$H$13</f>
        <v>494462</v>
      </c>
      <c r="H24" s="59"/>
      <c r="I24" s="59">
        <f t="shared" si="0"/>
        <v>494462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'G9BAL TotalWO'!E25*'G9BAL Input'!$H$13</f>
        <v>0</v>
      </c>
      <c r="F25" s="68"/>
      <c r="G25" s="68">
        <f>'G9BAL TotalWO'!G25*'G9BAL Input'!$H$13</f>
        <v>494462</v>
      </c>
      <c r="H25" s="59"/>
      <c r="I25" s="59">
        <f t="shared" si="0"/>
        <v>494462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'G9BAL TotalWO'!E26*'G9BAL Input'!$H$13</f>
        <v>0</v>
      </c>
      <c r="F26" s="68"/>
      <c r="G26" s="68">
        <f>'G9BAL TotalWO'!G26*'G9BAL Input'!$H$13</f>
        <v>494462</v>
      </c>
      <c r="H26" s="59"/>
      <c r="I26" s="59">
        <f t="shared" si="0"/>
        <v>494462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'G9BAL TotalWO'!E27*'G9BAL Input'!$H$13</f>
        <v>0</v>
      </c>
      <c r="F27" s="68"/>
      <c r="G27" s="71">
        <f>'G9BAL TotalWO'!G27*'G9BAL Input'!$H$13</f>
        <v>494462</v>
      </c>
      <c r="H27" s="59"/>
      <c r="I27" s="61">
        <f t="shared" si="0"/>
        <v>494462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5933544</v>
      </c>
      <c r="H28" s="64"/>
      <c r="I28" s="63">
        <f>SUM(I16:I27)</f>
        <v>5933544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494462</v>
      </c>
      <c r="H30" s="64"/>
      <c r="I30" s="66">
        <f>ROUND(+I28/12,2)</f>
        <v>494462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494462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161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1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Minnesota Ave Russell-3rd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48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52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908.94</v>
      </c>
      <c r="H53" s="64"/>
      <c r="I53" s="63">
        <f t="shared" ref="I53:I64" si="4">G53-E53</f>
        <v>908.94</v>
      </c>
      <c r="K53" s="58"/>
      <c r="M53" s="63">
        <f>+ROUND(I53/I$67*M$67,2)</f>
        <v>133.61000000000001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908.94</v>
      </c>
      <c r="H54" s="57"/>
      <c r="I54" s="59">
        <f t="shared" si="4"/>
        <v>908.94</v>
      </c>
      <c r="M54" s="59">
        <f t="shared" ref="M54:M64" si="8">+ROUND(I54/I$67*M$67,2)</f>
        <v>133.61000000000001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908.94</v>
      </c>
      <c r="H55" s="57"/>
      <c r="I55" s="59">
        <f t="shared" si="4"/>
        <v>908.94</v>
      </c>
      <c r="M55" s="59">
        <f t="shared" si="8"/>
        <v>133.61000000000001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908.94</v>
      </c>
      <c r="H56" s="57"/>
      <c r="I56" s="59">
        <f t="shared" si="4"/>
        <v>908.94</v>
      </c>
      <c r="M56" s="59">
        <f t="shared" si="8"/>
        <v>133.61000000000001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908.94</v>
      </c>
      <c r="H57" s="57"/>
      <c r="I57" s="59">
        <f t="shared" si="4"/>
        <v>908.94</v>
      </c>
      <c r="M57" s="59">
        <f t="shared" si="8"/>
        <v>133.61000000000001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908.94</v>
      </c>
      <c r="H58" s="57"/>
      <c r="I58" s="59">
        <f t="shared" si="4"/>
        <v>908.94</v>
      </c>
      <c r="M58" s="59">
        <f>+ROUND(I58/I$67*M$67,2)+0.01</f>
        <v>133.62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908.94</v>
      </c>
      <c r="H59" s="57"/>
      <c r="I59" s="59">
        <f t="shared" si="4"/>
        <v>908.94</v>
      </c>
      <c r="M59" s="59">
        <f>+ROUND(I59/I$67*M$67,2)+0.01</f>
        <v>133.62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908.94</v>
      </c>
      <c r="H60" s="57"/>
      <c r="I60" s="59">
        <f t="shared" si="4"/>
        <v>908.94</v>
      </c>
      <c r="M60" s="59">
        <f>+ROUND(I60/I$67*M$67,2)+0.01</f>
        <v>133.62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908.94</v>
      </c>
      <c r="H61" s="57"/>
      <c r="I61" s="59">
        <f t="shared" si="4"/>
        <v>908.94</v>
      </c>
      <c r="M61" s="59">
        <f t="shared" si="8"/>
        <v>133.61000000000001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908.94</v>
      </c>
      <c r="H62" s="57"/>
      <c r="I62" s="59">
        <f t="shared" si="4"/>
        <v>908.94</v>
      </c>
      <c r="M62" s="59">
        <f t="shared" si="8"/>
        <v>133.61000000000001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908.94</v>
      </c>
      <c r="H63" s="57"/>
      <c r="I63" s="59">
        <f t="shared" si="4"/>
        <v>908.94</v>
      </c>
      <c r="M63" s="59">
        <f t="shared" si="8"/>
        <v>133.61000000000001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908.94</v>
      </c>
      <c r="H64" s="57"/>
      <c r="I64" s="61">
        <f t="shared" si="4"/>
        <v>908.94</v>
      </c>
      <c r="M64" s="61">
        <f t="shared" si="8"/>
        <v>133.61000000000001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10907.280000000004</v>
      </c>
      <c r="H65" s="64"/>
      <c r="I65" s="63">
        <f>SUM(I53:I64)</f>
        <v>10907.280000000004</v>
      </c>
      <c r="M65" s="63">
        <f>SUM(M53:M64)</f>
        <v>1603.3500000000004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10907.280000000004</v>
      </c>
      <c r="K67" s="66">
        <f>ROUND(G16*K73,2)</f>
        <v>18542.330000000002</v>
      </c>
      <c r="M67" s="66">
        <f>ROUND(+(K67-I67)*M73,2)</f>
        <v>1603.36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162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'G9BAL Input'!J13</f>
        <v>2.2058823529411766E-2</v>
      </c>
      <c r="F73" s="76"/>
      <c r="G73" s="76">
        <f>E73/12</f>
        <v>1.8382352941176473E-3</v>
      </c>
      <c r="K73" s="86">
        <f>+'G9BAL Input'!L13</f>
        <v>3.7499999999999999E-2</v>
      </c>
      <c r="M73" s="87">
        <f>+'G9BAL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Minnesota Ave Russell-3rd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48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52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908.94</v>
      </c>
      <c r="H93" s="57"/>
      <c r="I93" s="58">
        <f t="shared" si="9"/>
        <v>908.94</v>
      </c>
      <c r="M93" s="58">
        <f>+M53</f>
        <v>133.61000000000001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1817.88</v>
      </c>
      <c r="H94" s="57"/>
      <c r="I94" s="59">
        <f t="shared" si="9"/>
        <v>1817.88</v>
      </c>
      <c r="M94" s="59">
        <f>+M93+M54</f>
        <v>267.22000000000003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2726.82</v>
      </c>
      <c r="H95" s="57"/>
      <c r="I95" s="59">
        <f t="shared" si="9"/>
        <v>2726.82</v>
      </c>
      <c r="M95" s="59">
        <f t="shared" ref="M95:M104" si="14">+M94+M55</f>
        <v>400.83000000000004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3635.76</v>
      </c>
      <c r="H96" s="57"/>
      <c r="I96" s="59">
        <f t="shared" si="9"/>
        <v>3635.76</v>
      </c>
      <c r="M96" s="59">
        <f t="shared" si="14"/>
        <v>534.44000000000005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4544.7000000000007</v>
      </c>
      <c r="H97" s="57"/>
      <c r="I97" s="59">
        <f t="shared" si="9"/>
        <v>4544.7000000000007</v>
      </c>
      <c r="M97" s="59">
        <f t="shared" si="14"/>
        <v>668.05000000000007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5453.6400000000012</v>
      </c>
      <c r="H98" s="57"/>
      <c r="I98" s="59">
        <f t="shared" si="9"/>
        <v>5453.6400000000012</v>
      </c>
      <c r="M98" s="59">
        <f t="shared" si="14"/>
        <v>801.67000000000007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6362.5800000000017</v>
      </c>
      <c r="H99" s="57"/>
      <c r="I99" s="59">
        <f t="shared" si="9"/>
        <v>6362.5800000000017</v>
      </c>
      <c r="M99" s="59">
        <f t="shared" si="14"/>
        <v>935.29000000000008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7271.5200000000023</v>
      </c>
      <c r="H100" s="57"/>
      <c r="I100" s="59">
        <f t="shared" si="9"/>
        <v>7271.5200000000023</v>
      </c>
      <c r="M100" s="59">
        <f t="shared" si="14"/>
        <v>1068.9100000000001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8180.4600000000028</v>
      </c>
      <c r="H101" s="57"/>
      <c r="I101" s="59">
        <f t="shared" si="9"/>
        <v>8180.4600000000028</v>
      </c>
      <c r="M101" s="59">
        <f t="shared" si="14"/>
        <v>1202.52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9089.4000000000033</v>
      </c>
      <c r="H102" s="57"/>
      <c r="I102" s="59">
        <f t="shared" si="9"/>
        <v>9089.4000000000033</v>
      </c>
      <c r="M102" s="59">
        <f t="shared" si="14"/>
        <v>1336.13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9998.3400000000038</v>
      </c>
      <c r="H103" s="57"/>
      <c r="I103" s="59">
        <f t="shared" si="9"/>
        <v>9998.3400000000038</v>
      </c>
      <c r="M103" s="59">
        <f t="shared" si="14"/>
        <v>1469.7400000000002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10907.280000000004</v>
      </c>
      <c r="H104" s="57"/>
      <c r="I104" s="61">
        <f t="shared" si="9"/>
        <v>10907.280000000004</v>
      </c>
      <c r="M104" s="61">
        <f t="shared" si="14"/>
        <v>1603.3500000000004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70897.320000000022</v>
      </c>
      <c r="H105" s="64"/>
      <c r="I105" s="63">
        <f>SUM(I93:I104)</f>
        <v>70897.320000000022</v>
      </c>
      <c r="M105" s="63">
        <f>SUM(M93:M104)</f>
        <v>10421.760000000002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5908.11</v>
      </c>
      <c r="H107" s="64"/>
      <c r="I107" s="66">
        <f>ROUND(+I105/12,2)</f>
        <v>5908.11</v>
      </c>
      <c r="M107" s="66">
        <f>ROUND(+M105/12,2)</f>
        <v>868.48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5908.11</v>
      </c>
      <c r="M110" s="78">
        <f>+M107</f>
        <v>868.48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163</v>
      </c>
      <c r="M112" s="62" t="s">
        <v>164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5.5" customHeight="1">
      <c r="A3" s="121" t="str">
        <f>'G9BAL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'G9BAL Input'!F6</f>
        <v>SFS: Minnesota Ave Russell-3rd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26.25" customHeight="1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SFS: Minnesota Ave Russell-3rd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73:L73"/>
    <mergeCell ref="A1:L1"/>
    <mergeCell ref="A2:L2"/>
    <mergeCell ref="A3:L3"/>
    <mergeCell ref="A4:L4"/>
    <mergeCell ref="A5:L5"/>
    <mergeCell ref="A6:L6"/>
    <mergeCell ref="A68:L68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165</v>
      </c>
      <c r="E6" s="34"/>
      <c r="F6" s="127" t="s">
        <v>166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44819</v>
      </c>
    </row>
    <row r="28" spans="1:10">
      <c r="A28" s="36">
        <v>16</v>
      </c>
      <c r="B28" s="34" t="s">
        <v>97</v>
      </c>
      <c r="D28" s="108">
        <v>470996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167</v>
      </c>
    </row>
    <row r="33" spans="2:2">
      <c r="B33" s="44" t="s">
        <v>168</v>
      </c>
    </row>
    <row r="34" spans="2:2">
      <c r="B34" s="44" t="s">
        <v>169</v>
      </c>
    </row>
    <row r="35" spans="2:2">
      <c r="B35" s="44" t="s">
        <v>170</v>
      </c>
    </row>
    <row r="36" spans="2:2">
      <c r="B36" s="44" t="s">
        <v>171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'G9AET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'G9AET Input'!F6</f>
        <v>6 Mile Rd 10th to 26th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'G9AET Input'!B13</f>
        <v>44180</v>
      </c>
      <c r="D15" s="55"/>
      <c r="E15" s="56">
        <f>'G9AET Input'!D13*'G9AET Input'!$D$7*'G9AET Input'!$H$7</f>
        <v>0</v>
      </c>
      <c r="F15" s="57"/>
      <c r="G15" s="56">
        <f>'G9AET Input'!D27*'G9AET Input'!D6*'G9AET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'G9AET Input'!B14</f>
        <v>44211</v>
      </c>
      <c r="D16" s="55"/>
      <c r="E16" s="58">
        <f>'G9AET Input'!D14*'G9AET Input'!$D$7*'G9AET Input'!$H$7</f>
        <v>0</v>
      </c>
      <c r="F16" s="57"/>
      <c r="G16" s="58">
        <f>'G9AET Input'!D28*'G9AET Input'!D7*'G9AET Input'!H7</f>
        <v>470996</v>
      </c>
      <c r="H16" s="57"/>
      <c r="I16" s="58">
        <f t="shared" si="0"/>
        <v>470996</v>
      </c>
    </row>
    <row r="17" spans="1:10">
      <c r="A17" s="48">
        <f t="shared" si="1"/>
        <v>3</v>
      </c>
      <c r="C17" s="55">
        <f>'G9AET Input'!B15</f>
        <v>44241</v>
      </c>
      <c r="D17" s="55"/>
      <c r="E17" s="58">
        <f>'G9AET Input'!D15*'G9AET Input'!$D$7*'G9AET Input'!$H$7</f>
        <v>0</v>
      </c>
      <c r="F17" s="57"/>
      <c r="G17" s="59">
        <f t="shared" ref="G17:G27" si="2">$G$16</f>
        <v>470996</v>
      </c>
      <c r="H17" s="57"/>
      <c r="I17" s="59">
        <f t="shared" si="0"/>
        <v>470996</v>
      </c>
      <c r="J17" s="57"/>
    </row>
    <row r="18" spans="1:10">
      <c r="A18" s="48">
        <f t="shared" si="1"/>
        <v>4</v>
      </c>
      <c r="C18" s="55">
        <f>'G9AET Input'!B16</f>
        <v>44271</v>
      </c>
      <c r="D18" s="55"/>
      <c r="E18" s="58">
        <f>'G9AET Input'!D16*'G9AET Input'!$D$7*'G9AET Input'!$H$7</f>
        <v>0</v>
      </c>
      <c r="F18" s="57"/>
      <c r="G18" s="59">
        <f t="shared" si="2"/>
        <v>470996</v>
      </c>
      <c r="H18" s="57"/>
      <c r="I18" s="59">
        <f t="shared" si="0"/>
        <v>470996</v>
      </c>
      <c r="J18" s="57"/>
    </row>
    <row r="19" spans="1:10">
      <c r="A19" s="48">
        <f t="shared" si="1"/>
        <v>5</v>
      </c>
      <c r="C19" s="55">
        <f>'G9AET Input'!B17</f>
        <v>44301</v>
      </c>
      <c r="D19" s="55"/>
      <c r="E19" s="58">
        <f>'G9AET Input'!D17*'G9AET Input'!$D$7*'G9AET Input'!$H$7</f>
        <v>0</v>
      </c>
      <c r="F19" s="57"/>
      <c r="G19" s="59">
        <f t="shared" si="2"/>
        <v>470996</v>
      </c>
      <c r="H19" s="57"/>
      <c r="I19" s="59">
        <f t="shared" si="0"/>
        <v>470996</v>
      </c>
      <c r="J19" s="57"/>
    </row>
    <row r="20" spans="1:10">
      <c r="A20" s="48">
        <f t="shared" si="1"/>
        <v>6</v>
      </c>
      <c r="C20" s="55">
        <f>'G9AET Input'!B18</f>
        <v>44331</v>
      </c>
      <c r="D20" s="55"/>
      <c r="E20" s="58">
        <f>'G9AET Input'!D18*'G9AET Input'!$D$7*'G9AET Input'!$H$7</f>
        <v>0</v>
      </c>
      <c r="F20" s="57"/>
      <c r="G20" s="59">
        <f t="shared" si="2"/>
        <v>470996</v>
      </c>
      <c r="H20" s="57"/>
      <c r="I20" s="59">
        <f t="shared" si="0"/>
        <v>470996</v>
      </c>
      <c r="J20" s="57"/>
    </row>
    <row r="21" spans="1:10">
      <c r="A21" s="48">
        <f t="shared" si="1"/>
        <v>7</v>
      </c>
      <c r="C21" s="55">
        <f>'G9AET Input'!B19</f>
        <v>44361</v>
      </c>
      <c r="D21" s="55"/>
      <c r="E21" s="58">
        <f>'G9AET Input'!D19*'G9AET Input'!$D$7*'G9AET Input'!$H$7</f>
        <v>0</v>
      </c>
      <c r="F21" s="57"/>
      <c r="G21" s="59">
        <f t="shared" si="2"/>
        <v>470996</v>
      </c>
      <c r="H21" s="57"/>
      <c r="I21" s="59">
        <f t="shared" si="0"/>
        <v>470996</v>
      </c>
      <c r="J21" s="57"/>
    </row>
    <row r="22" spans="1:10">
      <c r="A22" s="48">
        <f t="shared" si="1"/>
        <v>8</v>
      </c>
      <c r="C22" s="55">
        <f>'G9AET Input'!B20</f>
        <v>44391</v>
      </c>
      <c r="D22" s="55"/>
      <c r="E22" s="58">
        <f>'G9AET Input'!D20*'G9AET Input'!$D$7*'G9AET Input'!$H$7</f>
        <v>0</v>
      </c>
      <c r="F22" s="57"/>
      <c r="G22" s="59">
        <f t="shared" si="2"/>
        <v>470996</v>
      </c>
      <c r="H22" s="57"/>
      <c r="I22" s="59">
        <f t="shared" si="0"/>
        <v>470996</v>
      </c>
      <c r="J22" s="57"/>
    </row>
    <row r="23" spans="1:10">
      <c r="A23" s="48">
        <f t="shared" si="1"/>
        <v>9</v>
      </c>
      <c r="C23" s="55">
        <f>'G9AET Input'!B21</f>
        <v>44421</v>
      </c>
      <c r="D23" s="55"/>
      <c r="E23" s="58">
        <f>'G9AET Input'!D21*'G9AET Input'!$D$7*'G9AET Input'!$H$7</f>
        <v>0</v>
      </c>
      <c r="F23" s="57"/>
      <c r="G23" s="59">
        <f t="shared" si="2"/>
        <v>470996</v>
      </c>
      <c r="H23" s="57"/>
      <c r="I23" s="59">
        <f t="shared" si="0"/>
        <v>470996</v>
      </c>
      <c r="J23" s="57"/>
    </row>
    <row r="24" spans="1:10">
      <c r="A24" s="48">
        <f t="shared" si="1"/>
        <v>10</v>
      </c>
      <c r="C24" s="55">
        <f>'G9AET Input'!B22</f>
        <v>44451</v>
      </c>
      <c r="D24" s="55"/>
      <c r="E24" s="58">
        <f>'G9AET Input'!D22*'G9AET Input'!$D$7*'G9AET Input'!$H$7</f>
        <v>0</v>
      </c>
      <c r="F24" s="57"/>
      <c r="G24" s="59">
        <f t="shared" si="2"/>
        <v>470996</v>
      </c>
      <c r="H24" s="57"/>
      <c r="I24" s="59">
        <f t="shared" si="0"/>
        <v>470996</v>
      </c>
      <c r="J24" s="57"/>
    </row>
    <row r="25" spans="1:10">
      <c r="A25" s="48">
        <f t="shared" si="1"/>
        <v>11</v>
      </c>
      <c r="C25" s="55">
        <f>'G9AET Input'!B23</f>
        <v>44481</v>
      </c>
      <c r="D25" s="55"/>
      <c r="E25" s="58">
        <f>'G9AET Input'!D23*'G9AET Input'!$D$7*'G9AET Input'!$H$7</f>
        <v>0</v>
      </c>
      <c r="F25" s="57"/>
      <c r="G25" s="59">
        <f t="shared" si="2"/>
        <v>470996</v>
      </c>
      <c r="H25" s="57"/>
      <c r="I25" s="59">
        <f t="shared" si="0"/>
        <v>470996</v>
      </c>
      <c r="J25" s="57"/>
    </row>
    <row r="26" spans="1:10">
      <c r="A26" s="48">
        <f t="shared" si="1"/>
        <v>12</v>
      </c>
      <c r="C26" s="55">
        <f>'G9AET Input'!B24</f>
        <v>44511</v>
      </c>
      <c r="D26" s="55"/>
      <c r="E26" s="58">
        <f>'G9AET Input'!D24*'G9AET Input'!$D$7*'G9AET Input'!$H$7</f>
        <v>0</v>
      </c>
      <c r="F26" s="57"/>
      <c r="G26" s="59">
        <f t="shared" si="2"/>
        <v>470996</v>
      </c>
      <c r="H26" s="57"/>
      <c r="I26" s="59">
        <f t="shared" si="0"/>
        <v>470996</v>
      </c>
      <c r="J26" s="57"/>
    </row>
    <row r="27" spans="1:10">
      <c r="A27" s="48">
        <f t="shared" si="1"/>
        <v>13</v>
      </c>
      <c r="C27" s="55">
        <f>'G9AET Input'!B25</f>
        <v>44541</v>
      </c>
      <c r="D27" s="55"/>
      <c r="E27" s="60">
        <f>'G9AET Input'!D25*'G9AET Input'!$D$7*'G9AET Input'!$H$7</f>
        <v>0</v>
      </c>
      <c r="F27" s="57"/>
      <c r="G27" s="61">
        <f t="shared" si="2"/>
        <v>470996</v>
      </c>
      <c r="H27" s="57"/>
      <c r="I27" s="61">
        <f t="shared" si="0"/>
        <v>470996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5651952</v>
      </c>
      <c r="H28" s="64"/>
      <c r="I28" s="63">
        <f>SUM(I16:I27)</f>
        <v>5651952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470996</v>
      </c>
      <c r="H30" s="64"/>
      <c r="I30" s="66">
        <f>ROUND(+I28/12,2)</f>
        <v>470996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470996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</headerFooter>
  <rowBreaks count="2" manualBreakCount="2">
    <brk id="38" max="16383" man="1"/>
    <brk id="7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2.5" customHeight="1">
      <c r="A3" s="119" t="str">
        <f>'G9AET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'G9AET Input'!F6</f>
        <v>6 Mile Rd 10th to 26th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'G9AET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48" t="s">
        <v>108</v>
      </c>
      <c r="E11" s="51" t="str">
        <f>"Acct "&amp;'G9AET Input'!F13</f>
        <v>Acct 2.376.00</v>
      </c>
      <c r="F11" s="51"/>
      <c r="G11" s="51"/>
      <c r="H11" s="51"/>
      <c r="I11" s="51"/>
    </row>
    <row r="12" spans="1:12" ht="12" thickBot="1">
      <c r="A12" s="52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'G9AET TotalWO'!C15</f>
        <v>44180</v>
      </c>
      <c r="D15" s="55"/>
      <c r="E15" s="56">
        <f>'G9AET TotalWO'!E15*'G9AET Input'!$H$13</f>
        <v>0</v>
      </c>
      <c r="F15" s="68"/>
      <c r="G15" s="56">
        <f>'G9AET TotalWO'!G15*'G9AET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'G9AET TotalWO'!C16</f>
        <v>44211</v>
      </c>
      <c r="D16" s="55"/>
      <c r="E16" s="58">
        <f>'G9AET TotalWO'!E16*'G9AET Input'!$H$13</f>
        <v>0</v>
      </c>
      <c r="F16" s="68"/>
      <c r="G16" s="58">
        <f>'G9AET TotalWO'!G16*'G9AET Input'!$H$13</f>
        <v>470996</v>
      </c>
      <c r="H16" s="59"/>
      <c r="I16" s="58">
        <f t="shared" si="0"/>
        <v>470996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'G9AET TotalWO'!E17*'G9AET Input'!$H$13</f>
        <v>0</v>
      </c>
      <c r="F17" s="68"/>
      <c r="G17" s="68">
        <f>'G9AET TotalWO'!G17*'G9AET Input'!$H$13</f>
        <v>470996</v>
      </c>
      <c r="H17" s="59"/>
      <c r="I17" s="59">
        <f t="shared" si="0"/>
        <v>470996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'G9AET TotalWO'!E18*'G9AET Input'!$H$13</f>
        <v>0</v>
      </c>
      <c r="F18" s="68"/>
      <c r="G18" s="68">
        <f>'G9AET TotalWO'!G18*'G9AET Input'!$H$13</f>
        <v>470996</v>
      </c>
      <c r="H18" s="59"/>
      <c r="I18" s="59">
        <f t="shared" si="0"/>
        <v>470996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'G9AET TotalWO'!E19*'G9AET Input'!$H$13</f>
        <v>0</v>
      </c>
      <c r="F19" s="68"/>
      <c r="G19" s="68">
        <f>'G9AET TotalWO'!G19*'G9AET Input'!$H$13</f>
        <v>470996</v>
      </c>
      <c r="H19" s="59"/>
      <c r="I19" s="59">
        <f t="shared" si="0"/>
        <v>470996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'G9AET TotalWO'!E20*'G9AET Input'!$H$13</f>
        <v>0</v>
      </c>
      <c r="F20" s="68"/>
      <c r="G20" s="68">
        <f>'G9AET TotalWO'!G20*'G9AET Input'!$H$13</f>
        <v>470996</v>
      </c>
      <c r="H20" s="59"/>
      <c r="I20" s="59">
        <f t="shared" si="0"/>
        <v>470996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'G9AET TotalWO'!E21*'G9AET Input'!$H$13</f>
        <v>0</v>
      </c>
      <c r="F21" s="68"/>
      <c r="G21" s="68">
        <f>'G9AET TotalWO'!G21*'G9AET Input'!$H$13</f>
        <v>470996</v>
      </c>
      <c r="H21" s="59"/>
      <c r="I21" s="59">
        <f t="shared" si="0"/>
        <v>470996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'G9AET TotalWO'!E22*'G9AET Input'!$H$13</f>
        <v>0</v>
      </c>
      <c r="F22" s="68"/>
      <c r="G22" s="68">
        <f>'G9AET TotalWO'!G22*'G9AET Input'!$H$13</f>
        <v>470996</v>
      </c>
      <c r="H22" s="59"/>
      <c r="I22" s="59">
        <f t="shared" si="0"/>
        <v>470996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'G9AET TotalWO'!E23*'G9AET Input'!$H$13</f>
        <v>0</v>
      </c>
      <c r="F23" s="68"/>
      <c r="G23" s="68">
        <f>'G9AET TotalWO'!G23*'G9AET Input'!$H$13</f>
        <v>470996</v>
      </c>
      <c r="H23" s="59"/>
      <c r="I23" s="59">
        <f t="shared" si="0"/>
        <v>470996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'G9AET TotalWO'!E24*'G9AET Input'!$H$13</f>
        <v>0</v>
      </c>
      <c r="F24" s="68"/>
      <c r="G24" s="68">
        <f>'G9AET TotalWO'!G24*'G9AET Input'!$H$13</f>
        <v>470996</v>
      </c>
      <c r="H24" s="59"/>
      <c r="I24" s="59">
        <f t="shared" si="0"/>
        <v>470996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'G9AET TotalWO'!E25*'G9AET Input'!$H$13</f>
        <v>0</v>
      </c>
      <c r="F25" s="68"/>
      <c r="G25" s="68">
        <f>'G9AET TotalWO'!G25*'G9AET Input'!$H$13</f>
        <v>470996</v>
      </c>
      <c r="H25" s="59"/>
      <c r="I25" s="59">
        <f t="shared" si="0"/>
        <v>470996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'G9AET TotalWO'!E26*'G9AET Input'!$H$13</f>
        <v>0</v>
      </c>
      <c r="F26" s="68"/>
      <c r="G26" s="68">
        <f>'G9AET TotalWO'!G26*'G9AET Input'!$H$13</f>
        <v>470996</v>
      </c>
      <c r="H26" s="59"/>
      <c r="I26" s="59">
        <f t="shared" si="0"/>
        <v>470996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'G9AET TotalWO'!E27*'G9AET Input'!$H$13</f>
        <v>0</v>
      </c>
      <c r="F27" s="68"/>
      <c r="G27" s="71">
        <f>'G9AET TotalWO'!G27*'G9AET Input'!$H$13</f>
        <v>470996</v>
      </c>
      <c r="H27" s="59"/>
      <c r="I27" s="61">
        <f t="shared" si="0"/>
        <v>470996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5651952</v>
      </c>
      <c r="H28" s="64"/>
      <c r="I28" s="63">
        <f>SUM(I16:I27)</f>
        <v>5651952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470996</v>
      </c>
      <c r="H30" s="64"/>
      <c r="I30" s="66">
        <f>ROUND(+I28/12,2)</f>
        <v>470996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470996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172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6 Mile Rd 10th to 26th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865.8</v>
      </c>
      <c r="H53" s="64"/>
      <c r="I53" s="63">
        <f t="shared" ref="I53:I64" si="4">G53-E53</f>
        <v>865.8</v>
      </c>
      <c r="K53" s="58"/>
      <c r="M53" s="63">
        <f>+ROUND(I53/I$67*M$67,2)</f>
        <v>127.27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865.8</v>
      </c>
      <c r="H54" s="57"/>
      <c r="I54" s="59">
        <f t="shared" si="4"/>
        <v>865.8</v>
      </c>
      <c r="M54" s="59">
        <f t="shared" ref="M54:M62" si="8">+ROUND(I54/I$67*M$67,2)</f>
        <v>127.27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865.8</v>
      </c>
      <c r="H55" s="57"/>
      <c r="I55" s="59">
        <f t="shared" si="4"/>
        <v>865.8</v>
      </c>
      <c r="M55" s="59">
        <f t="shared" si="8"/>
        <v>127.27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865.8</v>
      </c>
      <c r="H56" s="57"/>
      <c r="I56" s="59">
        <f t="shared" si="4"/>
        <v>865.8</v>
      </c>
      <c r="M56" s="59">
        <f t="shared" si="8"/>
        <v>127.27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865.8</v>
      </c>
      <c r="H57" s="57"/>
      <c r="I57" s="59">
        <f t="shared" si="4"/>
        <v>865.8</v>
      </c>
      <c r="M57" s="59">
        <f t="shared" si="8"/>
        <v>127.27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865.8</v>
      </c>
      <c r="H58" s="57"/>
      <c r="I58" s="59">
        <f t="shared" si="4"/>
        <v>865.8</v>
      </c>
      <c r="M58" s="59">
        <f t="shared" si="8"/>
        <v>127.27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865.8</v>
      </c>
      <c r="H59" s="57"/>
      <c r="I59" s="59">
        <f t="shared" si="4"/>
        <v>865.8</v>
      </c>
      <c r="M59" s="59">
        <f t="shared" si="8"/>
        <v>127.27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865.8</v>
      </c>
      <c r="H60" s="57"/>
      <c r="I60" s="59">
        <f t="shared" si="4"/>
        <v>865.8</v>
      </c>
      <c r="M60" s="59">
        <f t="shared" si="8"/>
        <v>127.27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865.8</v>
      </c>
      <c r="H61" s="57"/>
      <c r="I61" s="59">
        <f t="shared" si="4"/>
        <v>865.8</v>
      </c>
      <c r="M61" s="59">
        <f t="shared" si="8"/>
        <v>127.27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865.8</v>
      </c>
      <c r="H62" s="57"/>
      <c r="I62" s="59">
        <f t="shared" si="4"/>
        <v>865.8</v>
      </c>
      <c r="M62" s="59">
        <f t="shared" si="8"/>
        <v>127.27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865.8</v>
      </c>
      <c r="H63" s="57"/>
      <c r="I63" s="59">
        <f t="shared" si="4"/>
        <v>865.8</v>
      </c>
      <c r="M63" s="59">
        <f>+ROUND(I63/I$67*M$67,2)+0.01</f>
        <v>127.28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865.8</v>
      </c>
      <c r="H64" s="57"/>
      <c r="I64" s="61">
        <f t="shared" si="4"/>
        <v>865.8</v>
      </c>
      <c r="M64" s="61">
        <f>+ROUND(I64/I$67*M$67,2)+0.01</f>
        <v>127.28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10389.599999999999</v>
      </c>
      <c r="H65" s="64"/>
      <c r="I65" s="63">
        <f>SUM(I53:I64)</f>
        <v>10389.599999999999</v>
      </c>
      <c r="M65" s="63">
        <f>SUM(M53:M64)</f>
        <v>1527.26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10389.599999999999</v>
      </c>
      <c r="K67" s="66">
        <f>ROUND(G16*K73,2)</f>
        <v>17662.349999999999</v>
      </c>
      <c r="M67" s="66">
        <f>ROUND(+(K67-I67)*M73,2)</f>
        <v>1527.28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173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'G9AET Input'!J13</f>
        <v>2.2058823529411766E-2</v>
      </c>
      <c r="F73" s="76"/>
      <c r="G73" s="76">
        <f>E73/12</f>
        <v>1.8382352941176473E-3</v>
      </c>
      <c r="K73" s="86">
        <f>+'G9AET Input'!L13</f>
        <v>3.7499999999999999E-2</v>
      </c>
      <c r="M73" s="87">
        <f>+'G9AET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6 Mile Rd 10th to 26th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865.8</v>
      </c>
      <c r="H93" s="57"/>
      <c r="I93" s="58">
        <f t="shared" si="9"/>
        <v>865.8</v>
      </c>
      <c r="M93" s="58">
        <f>+M53</f>
        <v>127.27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1731.6</v>
      </c>
      <c r="H94" s="57"/>
      <c r="I94" s="59">
        <f t="shared" si="9"/>
        <v>1731.6</v>
      </c>
      <c r="M94" s="59">
        <f>+M93+M54</f>
        <v>254.54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2597.3999999999996</v>
      </c>
      <c r="H95" s="57"/>
      <c r="I95" s="59">
        <f t="shared" si="9"/>
        <v>2597.3999999999996</v>
      </c>
      <c r="M95" s="59">
        <f t="shared" ref="M95:M104" si="14">+M94+M55</f>
        <v>381.81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3463.2</v>
      </c>
      <c r="H96" s="57"/>
      <c r="I96" s="59">
        <f t="shared" si="9"/>
        <v>3463.2</v>
      </c>
      <c r="M96" s="59">
        <f t="shared" si="14"/>
        <v>509.08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4329</v>
      </c>
      <c r="H97" s="57"/>
      <c r="I97" s="59">
        <f t="shared" si="9"/>
        <v>4329</v>
      </c>
      <c r="M97" s="59">
        <f t="shared" si="14"/>
        <v>636.35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5194.8</v>
      </c>
      <c r="H98" s="57"/>
      <c r="I98" s="59">
        <f t="shared" si="9"/>
        <v>5194.8</v>
      </c>
      <c r="M98" s="59">
        <f t="shared" si="14"/>
        <v>763.62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6060.6</v>
      </c>
      <c r="H99" s="57"/>
      <c r="I99" s="59">
        <f t="shared" si="9"/>
        <v>6060.6</v>
      </c>
      <c r="M99" s="59">
        <f t="shared" si="14"/>
        <v>890.89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6926.4000000000005</v>
      </c>
      <c r="H100" s="57"/>
      <c r="I100" s="59">
        <f t="shared" si="9"/>
        <v>6926.4000000000005</v>
      </c>
      <c r="M100" s="59">
        <f t="shared" si="14"/>
        <v>1018.16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7792.2000000000007</v>
      </c>
      <c r="H101" s="57"/>
      <c r="I101" s="59">
        <f t="shared" si="9"/>
        <v>7792.2000000000007</v>
      </c>
      <c r="M101" s="59">
        <f t="shared" si="14"/>
        <v>1145.43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8658</v>
      </c>
      <c r="H102" s="57"/>
      <c r="I102" s="59">
        <f t="shared" si="9"/>
        <v>8658</v>
      </c>
      <c r="M102" s="59">
        <f t="shared" si="14"/>
        <v>1272.7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9523.7999999999993</v>
      </c>
      <c r="H103" s="57"/>
      <c r="I103" s="59">
        <f t="shared" si="9"/>
        <v>9523.7999999999993</v>
      </c>
      <c r="M103" s="59">
        <f t="shared" si="14"/>
        <v>1399.98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10389.599999999999</v>
      </c>
      <c r="H104" s="57"/>
      <c r="I104" s="61">
        <f t="shared" si="9"/>
        <v>10389.599999999999</v>
      </c>
      <c r="M104" s="61">
        <f t="shared" si="14"/>
        <v>1527.26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67532.399999999994</v>
      </c>
      <c r="H105" s="64"/>
      <c r="I105" s="63">
        <f>SUM(I93:I104)</f>
        <v>67532.399999999994</v>
      </c>
      <c r="M105" s="63">
        <f>SUM(M93:M104)</f>
        <v>9927.09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5627.7</v>
      </c>
      <c r="H107" s="64"/>
      <c r="I107" s="66">
        <f>ROUND(+I105/12,2)</f>
        <v>5627.7</v>
      </c>
      <c r="M107" s="66">
        <f>ROUND(+M105/12,2)</f>
        <v>827.26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5627.7</v>
      </c>
      <c r="M110" s="78">
        <f>+M107</f>
        <v>827.26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174</v>
      </c>
      <c r="M112" s="62" t="s">
        <v>175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4.75" customHeight="1">
      <c r="A3" s="121" t="str">
        <f>'G9AET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'G9AET Input'!F6</f>
        <v>6 Mile Rd 10th to 26th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25.5" customHeight="1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6 Mile Rd 10th to 26th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73:L73"/>
    <mergeCell ref="A1:L1"/>
    <mergeCell ref="A2:L2"/>
    <mergeCell ref="A3:L3"/>
    <mergeCell ref="A4:L4"/>
    <mergeCell ref="A5:L5"/>
    <mergeCell ref="A6:L6"/>
    <mergeCell ref="A68:L68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176</v>
      </c>
      <c r="E6" s="34"/>
      <c r="F6" s="127" t="s">
        <v>177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44805</v>
      </c>
    </row>
    <row r="28" spans="1:10">
      <c r="A28" s="36">
        <v>16</v>
      </c>
      <c r="B28" s="34" t="s">
        <v>97</v>
      </c>
      <c r="D28" s="108">
        <v>877023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178</v>
      </c>
    </row>
    <row r="33" spans="2:2">
      <c r="B33" s="44" t="s">
        <v>179</v>
      </c>
    </row>
    <row r="34" spans="2:2">
      <c r="B34" s="44" t="s">
        <v>180</v>
      </c>
    </row>
    <row r="35" spans="2:2">
      <c r="B35" s="44" t="s">
        <v>181</v>
      </c>
    </row>
    <row r="36" spans="2:2">
      <c r="B36" s="44" t="s">
        <v>182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2"/>
  <sheetViews>
    <sheetView view="pageLayout" zoomScaleNormal="100" workbookViewId="0">
      <selection sqref="A1:XFD1048576"/>
    </sheetView>
  </sheetViews>
  <sheetFormatPr defaultColWidth="8" defaultRowHeight="11.25"/>
  <cols>
    <col min="1" max="1" width="3.5703125" style="10" customWidth="1"/>
    <col min="2" max="2" width="31.5703125" style="10" bestFit="1" customWidth="1"/>
    <col min="3" max="3" width="0.85546875" style="10" customWidth="1"/>
    <col min="4" max="4" width="5" style="10" bestFit="1" customWidth="1"/>
    <col min="5" max="5" width="0.85546875" style="10" customWidth="1"/>
    <col min="6" max="6" width="9.28515625" style="10" customWidth="1"/>
    <col min="7" max="7" width="0.85546875" style="10" customWidth="1"/>
    <col min="8" max="8" width="10" style="10" customWidth="1"/>
    <col min="9" max="9" width="0.85546875" style="10" customWidth="1"/>
    <col min="10" max="10" width="10.7109375" style="10" customWidth="1"/>
    <col min="11" max="11" width="0.85546875" style="10" customWidth="1"/>
    <col min="12" max="12" width="12.85546875" style="10" bestFit="1" customWidth="1"/>
    <col min="13" max="13" width="0.85546875" style="10" customWidth="1"/>
    <col min="14" max="14" width="10.28515625" style="10" customWidth="1"/>
    <col min="15" max="15" width="0.85546875" style="10" customWidth="1"/>
    <col min="16" max="16" width="12.85546875" style="10" bestFit="1" customWidth="1"/>
    <col min="17" max="17" width="0.85546875" style="10" customWidth="1"/>
    <col min="18" max="18" width="10.85546875" style="10" customWidth="1"/>
    <col min="19" max="19" width="0.85546875" style="10" customWidth="1"/>
    <col min="20" max="20" width="12" style="10" bestFit="1" customWidth="1"/>
    <col min="21" max="16384" width="8" style="10"/>
  </cols>
  <sheetData>
    <row r="1" spans="1:18" ht="12.7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2.75" customHeight="1">
      <c r="A3" s="113" t="str">
        <f>'WP C, pg 1'!A5:H5</f>
        <v>Pro-Forma Adjustment - System Reliability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ht="12.75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8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8" ht="12" thickBot="1">
      <c r="F7" s="29" t="s">
        <v>29</v>
      </c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>
      <c r="A8" s="92" t="s">
        <v>1</v>
      </c>
      <c r="F8" s="12" t="s">
        <v>30</v>
      </c>
      <c r="H8" s="12" t="s">
        <v>31</v>
      </c>
      <c r="J8" s="12" t="s">
        <v>32</v>
      </c>
      <c r="L8" s="12" t="s">
        <v>33</v>
      </c>
      <c r="N8" s="12" t="s">
        <v>34</v>
      </c>
    </row>
    <row r="9" spans="1:18" ht="12" thickBot="1">
      <c r="A9" s="93" t="s">
        <v>2</v>
      </c>
      <c r="B9" s="13" t="s">
        <v>35</v>
      </c>
      <c r="C9" s="13"/>
      <c r="D9" s="13" t="s">
        <v>36</v>
      </c>
      <c r="F9" s="14" t="s">
        <v>37</v>
      </c>
      <c r="H9" s="14" t="s">
        <v>38</v>
      </c>
      <c r="J9" s="14" t="s">
        <v>39</v>
      </c>
      <c r="L9" s="14" t="s">
        <v>40</v>
      </c>
      <c r="N9" s="14" t="s">
        <v>41</v>
      </c>
      <c r="P9" s="13" t="s">
        <v>42</v>
      </c>
    </row>
    <row r="10" spans="1:18">
      <c r="B10" s="12" t="s">
        <v>6</v>
      </c>
      <c r="C10" s="12"/>
      <c r="D10" s="12" t="s">
        <v>7</v>
      </c>
      <c r="F10" s="32" t="s">
        <v>8</v>
      </c>
      <c r="H10" s="32" t="s">
        <v>43</v>
      </c>
      <c r="J10" s="32" t="s">
        <v>44</v>
      </c>
      <c r="L10" s="32" t="s">
        <v>45</v>
      </c>
      <c r="N10" s="32" t="s">
        <v>46</v>
      </c>
      <c r="P10" s="12" t="s">
        <v>47</v>
      </c>
    </row>
    <row r="11" spans="1:18">
      <c r="B11" s="12"/>
      <c r="C11" s="12"/>
      <c r="D11" s="12"/>
      <c r="F11" s="32"/>
      <c r="H11" s="32"/>
      <c r="J11" s="32"/>
      <c r="L11" s="32"/>
      <c r="N11" s="32"/>
      <c r="P11" s="12"/>
    </row>
    <row r="12" spans="1:18">
      <c r="A12" s="20">
        <v>1</v>
      </c>
      <c r="B12" s="10" t="s">
        <v>48</v>
      </c>
      <c r="C12" s="15"/>
      <c r="D12" s="16">
        <v>2022</v>
      </c>
      <c r="F12" s="17">
        <v>0</v>
      </c>
      <c r="G12" s="18"/>
      <c r="H12" s="17">
        <v>0</v>
      </c>
      <c r="I12" s="18" t="s">
        <v>10</v>
      </c>
      <c r="J12" s="17">
        <v>0</v>
      </c>
      <c r="K12" s="18"/>
      <c r="L12" s="17">
        <f>'G9B6U Acct1'!I33</f>
        <v>451893</v>
      </c>
      <c r="M12" s="18"/>
      <c r="N12" s="17">
        <v>0</v>
      </c>
      <c r="O12" s="18"/>
      <c r="P12" s="17">
        <f>SUM(F12:N12)</f>
        <v>451893</v>
      </c>
    </row>
    <row r="13" spans="1:18">
      <c r="A13" s="20">
        <f>A12+1</f>
        <v>2</v>
      </c>
      <c r="B13" s="10" t="s">
        <v>49</v>
      </c>
      <c r="C13" s="15"/>
      <c r="D13" s="16">
        <v>2022</v>
      </c>
      <c r="F13" s="22">
        <v>0</v>
      </c>
      <c r="G13" s="27"/>
      <c r="H13" s="22">
        <v>0</v>
      </c>
      <c r="I13" s="27"/>
      <c r="J13" s="22">
        <v>0</v>
      </c>
      <c r="K13" s="27"/>
      <c r="L13" s="22">
        <f>'G99BW Acct1'!I33</f>
        <v>2419422</v>
      </c>
      <c r="M13" s="27"/>
      <c r="N13" s="22">
        <v>0</v>
      </c>
      <c r="O13" s="27"/>
      <c r="P13" s="22">
        <f t="shared" ref="P13:P31" si="0">SUM(F13:N13)</f>
        <v>2419422</v>
      </c>
    </row>
    <row r="14" spans="1:18">
      <c r="A14" s="20">
        <f t="shared" ref="A14:A31" si="1">A13+1</f>
        <v>3</v>
      </c>
      <c r="B14" s="10" t="s">
        <v>50</v>
      </c>
      <c r="C14" s="15"/>
      <c r="D14" s="16">
        <v>2022</v>
      </c>
      <c r="F14" s="22">
        <v>0</v>
      </c>
      <c r="G14" s="18"/>
      <c r="H14" s="22">
        <v>0</v>
      </c>
      <c r="I14" s="18"/>
      <c r="J14" s="22">
        <v>0</v>
      </c>
      <c r="K14" s="18"/>
      <c r="L14" s="22">
        <f>'G9BAL Acct1'!I33</f>
        <v>494462</v>
      </c>
      <c r="M14" s="18"/>
      <c r="N14" s="3">
        <v>0</v>
      </c>
      <c r="O14" s="18"/>
      <c r="P14" s="22">
        <f t="shared" si="0"/>
        <v>494462</v>
      </c>
    </row>
    <row r="15" spans="1:18">
      <c r="A15" s="20">
        <f t="shared" si="1"/>
        <v>4</v>
      </c>
      <c r="B15" s="10" t="s">
        <v>51</v>
      </c>
      <c r="C15" s="15"/>
      <c r="D15" s="16">
        <v>2022</v>
      </c>
      <c r="F15" s="22">
        <v>0</v>
      </c>
      <c r="G15" s="18"/>
      <c r="H15" s="22">
        <v>0</v>
      </c>
      <c r="I15" s="18"/>
      <c r="J15" s="22">
        <v>0</v>
      </c>
      <c r="K15" s="18"/>
      <c r="L15" s="22">
        <f>'G9AET Acct1'!I33</f>
        <v>470996</v>
      </c>
      <c r="M15" s="18"/>
      <c r="N15" s="3">
        <v>0</v>
      </c>
      <c r="O15" s="18"/>
      <c r="P15" s="22">
        <f t="shared" si="0"/>
        <v>470996</v>
      </c>
    </row>
    <row r="16" spans="1:18">
      <c r="A16" s="20">
        <f t="shared" si="1"/>
        <v>5</v>
      </c>
      <c r="B16" s="10" t="s">
        <v>52</v>
      </c>
      <c r="C16" s="15"/>
      <c r="D16" s="16">
        <v>2022</v>
      </c>
      <c r="F16" s="22">
        <v>0</v>
      </c>
      <c r="G16" s="18"/>
      <c r="H16" s="22">
        <v>0</v>
      </c>
      <c r="I16" s="18"/>
      <c r="J16" s="22">
        <v>0</v>
      </c>
      <c r="K16" s="18"/>
      <c r="L16" s="22">
        <f>'G9BDB Acct1'!I33</f>
        <v>877023</v>
      </c>
      <c r="M16" s="18"/>
      <c r="N16" s="3">
        <v>0</v>
      </c>
      <c r="O16" s="18"/>
      <c r="P16" s="22">
        <f t="shared" si="0"/>
        <v>877023</v>
      </c>
    </row>
    <row r="17" spans="1:16">
      <c r="A17" s="20">
        <f t="shared" si="1"/>
        <v>6</v>
      </c>
      <c r="B17" s="10" t="s">
        <v>53</v>
      </c>
      <c r="C17" s="15"/>
      <c r="D17" s="16">
        <v>2022</v>
      </c>
      <c r="F17" s="22">
        <v>0</v>
      </c>
      <c r="G17" s="18"/>
      <c r="H17" s="22">
        <v>0</v>
      </c>
      <c r="I17" s="18"/>
      <c r="J17" s="22">
        <v>0</v>
      </c>
      <c r="K17" s="18"/>
      <c r="L17" s="22">
        <f>'G9BDC Acct1'!I33</f>
        <v>1170294</v>
      </c>
      <c r="M17" s="18"/>
      <c r="N17" s="3">
        <v>0</v>
      </c>
      <c r="O17" s="18"/>
      <c r="P17" s="22">
        <f t="shared" si="0"/>
        <v>1170294</v>
      </c>
    </row>
    <row r="18" spans="1:16">
      <c r="A18" s="20">
        <f t="shared" si="1"/>
        <v>7</v>
      </c>
      <c r="B18" s="10" t="s">
        <v>54</v>
      </c>
      <c r="C18" s="15"/>
      <c r="D18" s="16">
        <v>2022</v>
      </c>
      <c r="F18" s="22">
        <v>0</v>
      </c>
      <c r="G18" s="18"/>
      <c r="H18" s="22">
        <v>0</v>
      </c>
      <c r="I18" s="18"/>
      <c r="J18" s="22">
        <v>0</v>
      </c>
      <c r="K18" s="18"/>
      <c r="L18" s="22">
        <f>'G9AM4 Acct1'!I33</f>
        <v>125383</v>
      </c>
      <c r="M18" s="18"/>
      <c r="N18" s="3">
        <v>0</v>
      </c>
      <c r="O18" s="18"/>
      <c r="P18" s="22">
        <f t="shared" si="0"/>
        <v>125383</v>
      </c>
    </row>
    <row r="19" spans="1:16">
      <c r="A19" s="20">
        <f t="shared" si="1"/>
        <v>8</v>
      </c>
      <c r="B19" s="10" t="s">
        <v>55</v>
      </c>
      <c r="C19" s="15"/>
      <c r="D19" s="16">
        <v>2022</v>
      </c>
      <c r="F19" s="22">
        <v>0</v>
      </c>
      <c r="G19" s="18"/>
      <c r="H19" s="22">
        <v>0</v>
      </c>
      <c r="I19" s="18"/>
      <c r="J19" s="22">
        <v>0</v>
      </c>
      <c r="K19" s="18"/>
      <c r="L19" s="22">
        <f>'G9AF2 Acct1'!I33</f>
        <v>120522</v>
      </c>
      <c r="M19" s="18"/>
      <c r="N19" s="3">
        <v>0</v>
      </c>
      <c r="O19" s="18"/>
      <c r="P19" s="22">
        <f t="shared" si="0"/>
        <v>120522</v>
      </c>
    </row>
    <row r="20" spans="1:16">
      <c r="A20" s="20">
        <f>A19+1</f>
        <v>9</v>
      </c>
      <c r="B20" s="10" t="s">
        <v>56</v>
      </c>
      <c r="C20" s="15"/>
      <c r="D20" s="16">
        <v>2022</v>
      </c>
      <c r="F20" s="22">
        <v>0</v>
      </c>
      <c r="G20" s="18"/>
      <c r="H20" s="22">
        <v>0</v>
      </c>
      <c r="I20" s="18"/>
      <c r="J20" s="22">
        <v>0</v>
      </c>
      <c r="K20" s="18"/>
      <c r="L20" s="22">
        <f>'G9BDJ  Acct1'!I33</f>
        <v>100035</v>
      </c>
      <c r="M20" s="18"/>
      <c r="N20" s="3">
        <v>0</v>
      </c>
      <c r="O20" s="18"/>
      <c r="P20" s="22">
        <f t="shared" si="0"/>
        <v>100035</v>
      </c>
    </row>
    <row r="21" spans="1:16">
      <c r="A21" s="20">
        <f t="shared" ref="A21:A22" si="2">A20+1</f>
        <v>10</v>
      </c>
      <c r="B21" s="10" t="s">
        <v>57</v>
      </c>
      <c r="C21" s="15"/>
      <c r="D21" s="16">
        <v>2022</v>
      </c>
      <c r="F21" s="22"/>
      <c r="G21" s="18"/>
      <c r="H21" s="22"/>
      <c r="I21" s="18"/>
      <c r="J21" s="22"/>
      <c r="K21" s="18"/>
      <c r="L21" s="22">
        <f>'G9BDH Acct1'!I33</f>
        <v>292053</v>
      </c>
      <c r="M21" s="18"/>
      <c r="N21" s="3">
        <v>0</v>
      </c>
      <c r="O21" s="18"/>
      <c r="P21" s="22">
        <f t="shared" ref="P21" si="3">SUM(F21:N21)</f>
        <v>292053</v>
      </c>
    </row>
    <row r="22" spans="1:16">
      <c r="A22" s="20">
        <f t="shared" si="2"/>
        <v>11</v>
      </c>
      <c r="B22" s="10" t="s">
        <v>58</v>
      </c>
      <c r="C22" s="15"/>
      <c r="D22" s="16">
        <v>2023</v>
      </c>
      <c r="F22" s="22">
        <v>0</v>
      </c>
      <c r="G22" s="18"/>
      <c r="H22" s="22">
        <v>0</v>
      </c>
      <c r="I22" s="18"/>
      <c r="J22" s="22">
        <v>0</v>
      </c>
      <c r="K22" s="18"/>
      <c r="L22" s="22">
        <f>'G99BX Acct1'!I33</f>
        <v>2453375</v>
      </c>
      <c r="M22" s="18"/>
      <c r="N22" s="3">
        <v>0</v>
      </c>
      <c r="O22" s="18"/>
      <c r="P22" s="22">
        <f t="shared" si="0"/>
        <v>2453375</v>
      </c>
    </row>
    <row r="23" spans="1:16">
      <c r="A23" s="20">
        <f t="shared" si="1"/>
        <v>12</v>
      </c>
      <c r="B23" s="10" t="s">
        <v>59</v>
      </c>
      <c r="C23" s="15"/>
      <c r="D23" s="16">
        <v>2023</v>
      </c>
      <c r="F23" s="22">
        <v>0</v>
      </c>
      <c r="G23" s="18"/>
      <c r="H23" s="22">
        <v>0</v>
      </c>
      <c r="I23" s="18"/>
      <c r="J23" s="22">
        <v>0</v>
      </c>
      <c r="K23" s="18"/>
      <c r="L23" s="22">
        <f>'G99HL Acct1'!I33</f>
        <v>444264</v>
      </c>
      <c r="M23" s="18"/>
      <c r="N23" s="3">
        <v>0</v>
      </c>
      <c r="O23" s="18"/>
      <c r="P23" s="22">
        <f t="shared" si="0"/>
        <v>444264</v>
      </c>
    </row>
    <row r="24" spans="1:16">
      <c r="A24" s="20">
        <f t="shared" si="1"/>
        <v>13</v>
      </c>
      <c r="B24" s="10" t="s">
        <v>60</v>
      </c>
      <c r="C24" s="15"/>
      <c r="D24" s="16">
        <v>2023</v>
      </c>
      <c r="F24" s="22">
        <v>0</v>
      </c>
      <c r="G24" s="18"/>
      <c r="H24" s="22">
        <v>0</v>
      </c>
      <c r="I24" s="18"/>
      <c r="J24" s="22">
        <v>0</v>
      </c>
      <c r="K24" s="18"/>
      <c r="L24" s="22">
        <f>'G9BAM Acct1'!I33</f>
        <v>373511</v>
      </c>
      <c r="M24" s="18"/>
      <c r="N24" s="3">
        <v>0</v>
      </c>
      <c r="O24" s="18"/>
      <c r="P24" s="22">
        <f t="shared" si="0"/>
        <v>373511</v>
      </c>
    </row>
    <row r="25" spans="1:16">
      <c r="A25" s="20">
        <f t="shared" si="1"/>
        <v>14</v>
      </c>
      <c r="B25" s="10" t="s">
        <v>61</v>
      </c>
      <c r="C25" s="15"/>
      <c r="D25" s="16">
        <v>2023</v>
      </c>
      <c r="F25" s="22">
        <v>0</v>
      </c>
      <c r="G25" s="18"/>
      <c r="H25" s="22">
        <v>0</v>
      </c>
      <c r="I25" s="18"/>
      <c r="J25" s="22">
        <v>0</v>
      </c>
      <c r="K25" s="18"/>
      <c r="L25" s="22">
        <f>'G99B4 Acct1'!I33</f>
        <v>1348049</v>
      </c>
      <c r="M25" s="18"/>
      <c r="N25" s="3">
        <v>0</v>
      </c>
      <c r="O25" s="18"/>
      <c r="P25" s="22">
        <f t="shared" si="0"/>
        <v>1348049</v>
      </c>
    </row>
    <row r="26" spans="1:16">
      <c r="A26" s="20">
        <f t="shared" si="1"/>
        <v>15</v>
      </c>
      <c r="B26" s="10" t="s">
        <v>62</v>
      </c>
      <c r="C26" s="15"/>
      <c r="D26" s="16">
        <v>2023</v>
      </c>
      <c r="F26" s="22">
        <v>0</v>
      </c>
      <c r="G26" s="18"/>
      <c r="H26" s="22">
        <v>0</v>
      </c>
      <c r="I26" s="18"/>
      <c r="J26" s="22">
        <v>0</v>
      </c>
      <c r="K26" s="18"/>
      <c r="L26" s="22">
        <f>'G99I0 Acct1'!I33</f>
        <v>1622640</v>
      </c>
      <c r="M26" s="18"/>
      <c r="N26" s="3">
        <v>0</v>
      </c>
      <c r="O26" s="18"/>
      <c r="P26" s="22">
        <f t="shared" si="0"/>
        <v>1622640</v>
      </c>
    </row>
    <row r="27" spans="1:16">
      <c r="A27" s="20">
        <f t="shared" si="1"/>
        <v>16</v>
      </c>
      <c r="B27" s="10" t="s">
        <v>63</v>
      </c>
      <c r="C27" s="15"/>
      <c r="D27" s="16">
        <v>2023</v>
      </c>
      <c r="F27" s="22">
        <v>0</v>
      </c>
      <c r="G27" s="18"/>
      <c r="H27" s="22">
        <v>0</v>
      </c>
      <c r="I27" s="18"/>
      <c r="J27" s="22">
        <v>0</v>
      </c>
      <c r="K27" s="18"/>
      <c r="L27" s="22">
        <f>'G9BDN Acct1'!I33</f>
        <v>243878</v>
      </c>
      <c r="M27" s="18"/>
      <c r="N27" s="3">
        <v>0</v>
      </c>
      <c r="O27" s="18"/>
      <c r="P27" s="22">
        <f t="shared" si="0"/>
        <v>243878</v>
      </c>
    </row>
    <row r="28" spans="1:16">
      <c r="A28" s="20">
        <f t="shared" si="1"/>
        <v>17</v>
      </c>
      <c r="B28" s="10" t="s">
        <v>64</v>
      </c>
      <c r="C28" s="15"/>
      <c r="D28" s="16">
        <v>2023</v>
      </c>
      <c r="F28" s="22">
        <v>0</v>
      </c>
      <c r="G28" s="18"/>
      <c r="H28" s="22">
        <v>0</v>
      </c>
      <c r="I28" s="18"/>
      <c r="J28" s="22">
        <v>0</v>
      </c>
      <c r="K28" s="18"/>
      <c r="L28" s="22">
        <f>'G9BDU Acct1'!I33</f>
        <v>134796</v>
      </c>
      <c r="M28" s="18"/>
      <c r="N28" s="3">
        <v>0</v>
      </c>
      <c r="O28" s="18"/>
      <c r="P28" s="22">
        <f t="shared" si="0"/>
        <v>134796</v>
      </c>
    </row>
    <row r="29" spans="1:16">
      <c r="A29" s="20">
        <f t="shared" si="1"/>
        <v>18</v>
      </c>
      <c r="B29" s="10" t="s">
        <v>65</v>
      </c>
      <c r="C29" s="15"/>
      <c r="D29" s="16">
        <v>2023</v>
      </c>
      <c r="F29" s="22">
        <v>0</v>
      </c>
      <c r="G29" s="18"/>
      <c r="H29" s="22">
        <v>0</v>
      </c>
      <c r="I29" s="18"/>
      <c r="J29" s="22">
        <v>0</v>
      </c>
      <c r="K29" s="18"/>
      <c r="L29" s="22">
        <f>'G99L3 Acct1'!I33</f>
        <v>1093951</v>
      </c>
      <c r="M29" s="18"/>
      <c r="N29" s="3">
        <v>0</v>
      </c>
      <c r="O29" s="18"/>
      <c r="P29" s="22">
        <f t="shared" si="0"/>
        <v>1093951</v>
      </c>
    </row>
    <row r="30" spans="1:16">
      <c r="A30" s="20">
        <f t="shared" si="1"/>
        <v>19</v>
      </c>
      <c r="B30" s="10" t="s">
        <v>66</v>
      </c>
      <c r="C30" s="15"/>
      <c r="D30" s="16">
        <v>2023</v>
      </c>
      <c r="F30" s="22">
        <v>0</v>
      </c>
      <c r="G30" s="18"/>
      <c r="H30" s="22">
        <v>0</v>
      </c>
      <c r="I30" s="18"/>
      <c r="J30" s="22">
        <v>0</v>
      </c>
      <c r="K30" s="18"/>
      <c r="L30" s="22">
        <f>'G9BDM Acct1'!I33</f>
        <v>108060</v>
      </c>
      <c r="M30" s="18"/>
      <c r="N30" s="3">
        <v>0</v>
      </c>
      <c r="O30" s="18"/>
      <c r="P30" s="22">
        <f t="shared" si="0"/>
        <v>108060</v>
      </c>
    </row>
    <row r="31" spans="1:16">
      <c r="A31" s="20">
        <f t="shared" si="1"/>
        <v>20</v>
      </c>
      <c r="B31" s="10" t="s">
        <v>67</v>
      </c>
      <c r="C31" s="15"/>
      <c r="D31" s="16">
        <v>2023</v>
      </c>
      <c r="F31" s="22">
        <v>0</v>
      </c>
      <c r="G31" s="18"/>
      <c r="H31" s="22">
        <v>0</v>
      </c>
      <c r="I31" s="18"/>
      <c r="J31" s="22">
        <v>0</v>
      </c>
      <c r="K31" s="18"/>
      <c r="L31" s="22">
        <f>'G9BDG Acct1'!I33</f>
        <v>175119</v>
      </c>
      <c r="M31" s="18"/>
      <c r="N31" s="3">
        <v>0</v>
      </c>
      <c r="O31" s="18"/>
      <c r="P31" s="22">
        <f t="shared" si="0"/>
        <v>175119</v>
      </c>
    </row>
    <row r="32" spans="1:16">
      <c r="A32" s="20">
        <f>A31+1</f>
        <v>21</v>
      </c>
      <c r="B32" s="10" t="s">
        <v>68</v>
      </c>
      <c r="C32" s="15"/>
      <c r="D32" s="16">
        <v>2023</v>
      </c>
      <c r="F32" s="22">
        <v>0</v>
      </c>
      <c r="G32" s="18"/>
      <c r="H32" s="22">
        <v>0</v>
      </c>
      <c r="I32" s="18"/>
      <c r="J32" s="22">
        <v>0</v>
      </c>
      <c r="K32" s="18"/>
      <c r="L32" s="22">
        <f>'G9BDQ Acct1'!I33+'G9BDQ Acct2'!I33</f>
        <v>1844682</v>
      </c>
      <c r="M32" s="18"/>
      <c r="N32" s="3">
        <v>0</v>
      </c>
      <c r="O32" s="18"/>
      <c r="P32" s="22">
        <f t="shared" ref="P32" si="4">SUM(F32:N32)</f>
        <v>1844682</v>
      </c>
    </row>
    <row r="33" spans="1:18">
      <c r="A33" s="20">
        <f>A32+1</f>
        <v>22</v>
      </c>
      <c r="B33" s="10" t="s">
        <v>69</v>
      </c>
      <c r="C33" s="15"/>
      <c r="D33" s="16">
        <v>2023</v>
      </c>
      <c r="F33" s="22"/>
      <c r="G33" s="18"/>
      <c r="H33" s="22"/>
      <c r="I33" s="18"/>
      <c r="J33" s="22"/>
      <c r="K33" s="18"/>
      <c r="L33" s="22">
        <f>'G9BDL Acct1'!I33</f>
        <v>529996</v>
      </c>
      <c r="M33" s="18"/>
      <c r="N33" s="3">
        <v>0</v>
      </c>
      <c r="O33" s="18"/>
      <c r="P33" s="22">
        <f t="shared" ref="P33" si="5">SUM(F33:N33)</f>
        <v>529996</v>
      </c>
    </row>
    <row r="34" spans="1:18">
      <c r="A34" s="20"/>
      <c r="C34" s="15"/>
      <c r="D34" s="16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</row>
    <row r="35" spans="1:18" ht="12" thickBot="1">
      <c r="A35" s="20"/>
      <c r="B35" s="19" t="s">
        <v>70</v>
      </c>
      <c r="D35" s="20" t="s">
        <v>10</v>
      </c>
      <c r="F35" s="21">
        <f>SUM(F12:F34)</f>
        <v>0</v>
      </c>
      <c r="G35" s="18"/>
      <c r="H35" s="21">
        <f>SUM(H12:H34)</f>
        <v>0</v>
      </c>
      <c r="I35" s="18"/>
      <c r="J35" s="21">
        <f>SUM(J12:J34)</f>
        <v>0</v>
      </c>
      <c r="K35" s="18"/>
      <c r="L35" s="21">
        <f>SUM(L12:L34)</f>
        <v>16894404</v>
      </c>
      <c r="M35" s="18"/>
      <c r="N35" s="21">
        <f>SUM(N12:N34)</f>
        <v>0</v>
      </c>
      <c r="O35" s="18"/>
      <c r="P35" s="21">
        <f>SUM(P12:P34)</f>
        <v>16894404</v>
      </c>
    </row>
    <row r="36" spans="1:18" ht="12" thickTop="1">
      <c r="B36" s="10" t="s">
        <v>10</v>
      </c>
      <c r="D36" s="20" t="s">
        <v>10</v>
      </c>
      <c r="F36" s="22"/>
      <c r="G36" s="18"/>
      <c r="H36" s="22"/>
      <c r="I36" s="18"/>
      <c r="J36" s="22"/>
      <c r="K36" s="18"/>
      <c r="L36" s="22"/>
      <c r="M36" s="18"/>
      <c r="N36" s="22"/>
      <c r="O36" s="18"/>
      <c r="P36" s="22" t="s">
        <v>10</v>
      </c>
    </row>
    <row r="37" spans="1:18">
      <c r="B37" s="10" t="s">
        <v>10</v>
      </c>
      <c r="D37" s="20" t="s">
        <v>10</v>
      </c>
      <c r="F37" s="22"/>
      <c r="G37" s="18"/>
      <c r="H37" s="22"/>
      <c r="I37" s="18"/>
      <c r="J37" s="22"/>
      <c r="K37" s="18"/>
      <c r="L37" s="22"/>
      <c r="M37" s="18"/>
      <c r="N37" s="22"/>
      <c r="O37" s="18"/>
      <c r="P37" s="22" t="s">
        <v>10</v>
      </c>
    </row>
    <row r="38" spans="1:18">
      <c r="B38" s="10" t="s">
        <v>10</v>
      </c>
      <c r="D38" s="20" t="s">
        <v>10</v>
      </c>
      <c r="F38" s="22"/>
      <c r="G38" s="18"/>
      <c r="H38" s="22"/>
      <c r="I38" s="18"/>
      <c r="J38" s="22"/>
      <c r="K38" s="18"/>
      <c r="L38" s="22"/>
      <c r="M38" s="18"/>
      <c r="N38" s="22"/>
      <c r="O38" s="18"/>
      <c r="P38" s="22" t="s">
        <v>10</v>
      </c>
    </row>
    <row r="39" spans="1:18">
      <c r="B39" s="10" t="s">
        <v>10</v>
      </c>
      <c r="D39" s="20" t="s">
        <v>10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8">
      <c r="B40" s="10" t="s">
        <v>10</v>
      </c>
      <c r="D40" s="20" t="s">
        <v>10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8"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 t="s">
        <v>10</v>
      </c>
    </row>
    <row r="42" spans="1:18"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8"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8"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8" ht="12.75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</row>
    <row r="46" spans="1:18" ht="12.75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</row>
    <row r="47" spans="1:18" ht="12.75" customHeight="1">
      <c r="A47" s="112" t="str">
        <f>'WP C, pg 1'!A5:H5</f>
        <v>Pro-Forma Adjustment - System Reliability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</row>
    <row r="48" spans="1:18" ht="12.75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</row>
    <row r="49" spans="1:20"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T49" s="12" t="s">
        <v>71</v>
      </c>
    </row>
    <row r="50" spans="1:20"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T50" s="12" t="s">
        <v>72</v>
      </c>
    </row>
    <row r="51" spans="1:20" ht="12" thickBot="1">
      <c r="A51" s="92" t="s">
        <v>1</v>
      </c>
      <c r="F51" s="29" t="s">
        <v>73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R51" s="12" t="s">
        <v>74</v>
      </c>
      <c r="T51" s="12" t="s">
        <v>75</v>
      </c>
    </row>
    <row r="52" spans="1:20" ht="12" thickBot="1">
      <c r="A52" s="94" t="s">
        <v>2</v>
      </c>
      <c r="B52" s="30" t="s">
        <v>35</v>
      </c>
      <c r="D52" s="30" t="s">
        <v>36</v>
      </c>
      <c r="F52" s="23" t="s">
        <v>30</v>
      </c>
      <c r="H52" s="23" t="s">
        <v>31</v>
      </c>
      <c r="J52" s="23" t="s">
        <v>32</v>
      </c>
      <c r="L52" s="23" t="s">
        <v>33</v>
      </c>
      <c r="N52" s="23" t="s">
        <v>34</v>
      </c>
      <c r="P52" s="23" t="s">
        <v>42</v>
      </c>
      <c r="R52" s="13" t="s">
        <v>76</v>
      </c>
      <c r="T52" s="13" t="s">
        <v>77</v>
      </c>
    </row>
    <row r="53" spans="1:20">
      <c r="B53" s="12" t="s">
        <v>6</v>
      </c>
      <c r="C53" s="12"/>
      <c r="D53" s="12" t="s">
        <v>7</v>
      </c>
      <c r="F53" s="32" t="s">
        <v>8</v>
      </c>
      <c r="H53" s="32" t="s">
        <v>43</v>
      </c>
      <c r="J53" s="32" t="s">
        <v>44</v>
      </c>
      <c r="L53" s="32" t="s">
        <v>45</v>
      </c>
      <c r="N53" s="32" t="s">
        <v>46</v>
      </c>
      <c r="P53" s="12" t="s">
        <v>47</v>
      </c>
      <c r="R53" s="12" t="s">
        <v>78</v>
      </c>
      <c r="T53" s="12" t="s">
        <v>79</v>
      </c>
    </row>
    <row r="54" spans="1:20">
      <c r="B54" s="12"/>
      <c r="D54" s="12"/>
      <c r="F54" s="12"/>
      <c r="H54" s="12"/>
      <c r="J54" s="12"/>
      <c r="L54" s="12"/>
      <c r="N54" s="12"/>
      <c r="P54" s="12"/>
      <c r="R54" s="12"/>
    </row>
    <row r="55" spans="1:20">
      <c r="A55" s="20">
        <f>A33+1</f>
        <v>23</v>
      </c>
      <c r="B55" s="15" t="str">
        <f t="shared" ref="B55:B76" si="6">B12</f>
        <v>G9B6U Tea-Sioux Falls Hwy 106 Tie</v>
      </c>
      <c r="C55" s="15"/>
      <c r="D55" s="24">
        <f t="shared" ref="D55:D76" si="7">D12</f>
        <v>2022</v>
      </c>
      <c r="F55" s="25">
        <v>0</v>
      </c>
      <c r="G55" s="18"/>
      <c r="H55" s="25">
        <v>0</v>
      </c>
      <c r="I55" s="18"/>
      <c r="J55" s="25">
        <v>0</v>
      </c>
      <c r="K55" s="18"/>
      <c r="L55" s="25">
        <f>'G9B6U Acct1'!I110</f>
        <v>5399.49</v>
      </c>
      <c r="M55" s="18"/>
      <c r="N55" s="25">
        <v>0</v>
      </c>
      <c r="O55" s="18"/>
      <c r="P55" s="25">
        <f>SUM(F55:N55)</f>
        <v>5399.49</v>
      </c>
      <c r="R55" s="25">
        <f>'G9B6U Acct1'!I67</f>
        <v>9968.2800000000043</v>
      </c>
      <c r="T55" s="88">
        <f>+'G9B6U Acct1'!M110</f>
        <v>793.72</v>
      </c>
    </row>
    <row r="56" spans="1:20">
      <c r="A56" s="20">
        <f>A55+1</f>
        <v>24</v>
      </c>
      <c r="B56" s="15" t="str">
        <f t="shared" si="6"/>
        <v>G99BW: SFS: NW 250 PSIG Expansion</v>
      </c>
      <c r="C56" s="15"/>
      <c r="D56" s="24">
        <f t="shared" si="7"/>
        <v>2022</v>
      </c>
      <c r="F56" s="22">
        <v>0</v>
      </c>
      <c r="G56" s="18"/>
      <c r="H56" s="22">
        <v>0</v>
      </c>
      <c r="I56" s="18"/>
      <c r="J56" s="22">
        <v>0</v>
      </c>
      <c r="K56" s="18"/>
      <c r="L56" s="22">
        <f>'G99BW Acct1'!I110</f>
        <v>28908.560000000001</v>
      </c>
      <c r="M56" s="18"/>
      <c r="N56" s="22">
        <v>0</v>
      </c>
      <c r="O56" s="18"/>
      <c r="P56" s="22">
        <f t="shared" ref="P56:P73" si="8">SUM(F56:N56)</f>
        <v>28908.560000000001</v>
      </c>
      <c r="R56" s="22">
        <f>'G99BW Acct1'!I67</f>
        <v>53369.640000000007</v>
      </c>
      <c r="T56" s="22">
        <f>+'G99BW Acct1'!M110</f>
        <v>4249.58</v>
      </c>
    </row>
    <row r="57" spans="1:20">
      <c r="A57" s="20">
        <f t="shared" ref="A57:A76" si="9">A56+1</f>
        <v>25</v>
      </c>
      <c r="B57" s="15" t="str">
        <f t="shared" si="6"/>
        <v>G9BAL: SFS: Minnesota Ave Russell-3rd</v>
      </c>
      <c r="C57" s="15"/>
      <c r="D57" s="24">
        <f t="shared" si="7"/>
        <v>2022</v>
      </c>
      <c r="F57" s="22">
        <v>0</v>
      </c>
      <c r="G57" s="18"/>
      <c r="H57" s="22">
        <v>0</v>
      </c>
      <c r="I57" s="18"/>
      <c r="J57" s="22">
        <v>0</v>
      </c>
      <c r="K57" s="18"/>
      <c r="L57" s="22">
        <f>'G9BAL Acct1'!I110</f>
        <v>5908.11</v>
      </c>
      <c r="M57" s="18"/>
      <c r="N57" s="22">
        <v>0</v>
      </c>
      <c r="O57" s="18"/>
      <c r="P57" s="22">
        <f t="shared" si="8"/>
        <v>5908.11</v>
      </c>
      <c r="R57" s="22">
        <f>'G9BAL Acct1'!I67</f>
        <v>10907.280000000004</v>
      </c>
      <c r="T57" s="22">
        <f>+'G9BAL Acct1'!M110</f>
        <v>868.48</v>
      </c>
    </row>
    <row r="58" spans="1:20">
      <c r="A58" s="20">
        <f t="shared" si="9"/>
        <v>26</v>
      </c>
      <c r="B58" s="15" t="str">
        <f t="shared" si="6"/>
        <v>G9AET: 6 Mile Rd 10th to 26th</v>
      </c>
      <c r="C58" s="15"/>
      <c r="D58" s="24">
        <f t="shared" si="7"/>
        <v>2022</v>
      </c>
      <c r="F58" s="22">
        <v>0</v>
      </c>
      <c r="G58" s="18"/>
      <c r="H58" s="22">
        <v>0</v>
      </c>
      <c r="I58" s="18"/>
      <c r="J58" s="22">
        <v>0</v>
      </c>
      <c r="K58" s="18"/>
      <c r="L58" s="22">
        <f>'G9AET Acct1'!I110</f>
        <v>5627.7</v>
      </c>
      <c r="M58" s="18"/>
      <c r="N58" s="22">
        <v>0</v>
      </c>
      <c r="O58" s="18"/>
      <c r="P58" s="22">
        <f t="shared" si="8"/>
        <v>5627.7</v>
      </c>
      <c r="R58" s="22">
        <f>'G9AET Acct1'!I67</f>
        <v>10389.599999999999</v>
      </c>
      <c r="T58" s="22">
        <f>+'G9AET Acct1'!M110</f>
        <v>827.26</v>
      </c>
    </row>
    <row r="59" spans="1:20">
      <c r="A59" s="20">
        <f t="shared" si="9"/>
        <v>27</v>
      </c>
      <c r="B59" s="15" t="str">
        <f t="shared" si="6"/>
        <v>G9DBD: SFS: Rice St 210 Line Upgrade</v>
      </c>
      <c r="C59" s="15"/>
      <c r="D59" s="24">
        <f t="shared" si="7"/>
        <v>2022</v>
      </c>
      <c r="F59" s="22">
        <v>0</v>
      </c>
      <c r="G59" s="18"/>
      <c r="H59" s="22">
        <v>0</v>
      </c>
      <c r="I59" s="18"/>
      <c r="J59" s="22">
        <v>0</v>
      </c>
      <c r="K59" s="18"/>
      <c r="L59" s="22">
        <f>'G9BDB Acct1'!I110</f>
        <v>10479.11</v>
      </c>
      <c r="M59" s="18"/>
      <c r="N59" s="22">
        <v>0</v>
      </c>
      <c r="O59" s="18"/>
      <c r="P59" s="22">
        <f t="shared" si="8"/>
        <v>10479.11</v>
      </c>
      <c r="R59" s="22">
        <f>'G9BDB Acct1'!I67</f>
        <v>19346.04</v>
      </c>
      <c r="T59" s="22">
        <f>+'G9BDB Acct1'!M110</f>
        <v>1540.44</v>
      </c>
    </row>
    <row r="60" spans="1:20">
      <c r="A60" s="20">
        <f t="shared" si="9"/>
        <v>28</v>
      </c>
      <c r="B60" s="15" t="str">
        <f t="shared" si="6"/>
        <v>G9BDC: SFS: SF MM New Harrisburg Feed</v>
      </c>
      <c r="C60" s="15"/>
      <c r="D60" s="24">
        <f t="shared" si="7"/>
        <v>2022</v>
      </c>
      <c r="F60" s="22">
        <v>0</v>
      </c>
      <c r="G60" s="18"/>
      <c r="H60" s="22">
        <v>0</v>
      </c>
      <c r="I60" s="18"/>
      <c r="J60" s="22">
        <v>0</v>
      </c>
      <c r="K60" s="18"/>
      <c r="L60" s="22">
        <f>'G9BDC Acct1'!I110</f>
        <v>13983.32</v>
      </c>
      <c r="M60" s="18"/>
      <c r="N60" s="22">
        <v>0</v>
      </c>
      <c r="O60" s="18"/>
      <c r="P60" s="22">
        <f t="shared" si="8"/>
        <v>13983.32</v>
      </c>
      <c r="R60" s="22">
        <f>'G9BDC Acct1'!I67</f>
        <v>25815.359999999997</v>
      </c>
      <c r="T60" s="22">
        <f>+'G9BDC Acct1'!M110</f>
        <v>2055.56</v>
      </c>
    </row>
    <row r="61" spans="1:20">
      <c r="A61" s="20">
        <f t="shared" si="9"/>
        <v>29</v>
      </c>
      <c r="B61" s="15" t="str">
        <f t="shared" si="6"/>
        <v>G9AM4: SFS: SD Hwy42 SD100 to 6 Mile</v>
      </c>
      <c r="C61" s="15"/>
      <c r="D61" s="24">
        <f t="shared" si="7"/>
        <v>2022</v>
      </c>
      <c r="F61" s="22">
        <v>0</v>
      </c>
      <c r="G61" s="18"/>
      <c r="H61" s="22">
        <v>0</v>
      </c>
      <c r="I61" s="18"/>
      <c r="J61" s="22">
        <v>0</v>
      </c>
      <c r="K61" s="18"/>
      <c r="L61" s="22">
        <f>'G9AM4 Acct1'!I110</f>
        <v>1498.12</v>
      </c>
      <c r="M61" s="18"/>
      <c r="N61" s="22">
        <v>0</v>
      </c>
      <c r="O61" s="18"/>
      <c r="P61" s="22">
        <f t="shared" si="8"/>
        <v>1498.12</v>
      </c>
      <c r="R61" s="22">
        <f>'G9AM4 Acct1'!I67</f>
        <v>2765.7599999999998</v>
      </c>
      <c r="T61" s="22">
        <f>+'G9AM4 Acct1'!M110</f>
        <v>220.22</v>
      </c>
    </row>
    <row r="62" spans="1:20">
      <c r="A62" s="20">
        <f t="shared" si="9"/>
        <v>30</v>
      </c>
      <c r="B62" s="15" t="str">
        <f t="shared" si="6"/>
        <v>G9AF2: SFS: Tallgrass 69th to 85th</v>
      </c>
      <c r="C62" s="15"/>
      <c r="D62" s="24">
        <f t="shared" si="7"/>
        <v>2022</v>
      </c>
      <c r="F62" s="22">
        <v>0</v>
      </c>
      <c r="G62" s="18"/>
      <c r="H62" s="22">
        <v>0</v>
      </c>
      <c r="I62" s="18"/>
      <c r="J62" s="22">
        <v>0</v>
      </c>
      <c r="K62" s="18"/>
      <c r="L62" s="22">
        <f>'G9AF2 Acct1'!I110</f>
        <v>1440.08</v>
      </c>
      <c r="M62" s="18"/>
      <c r="N62" s="22">
        <v>0</v>
      </c>
      <c r="O62" s="18"/>
      <c r="P62" s="22">
        <f t="shared" si="8"/>
        <v>1440.08</v>
      </c>
      <c r="R62" s="22">
        <f>'G9AF2 Acct1'!I67</f>
        <v>2658.6000000000004</v>
      </c>
      <c r="T62" s="22">
        <f>+'G9AF2 Acct1'!M110</f>
        <v>211.69</v>
      </c>
    </row>
    <row r="63" spans="1:20">
      <c r="A63" s="20">
        <f t="shared" si="9"/>
        <v>31</v>
      </c>
      <c r="B63" s="15" t="str">
        <f t="shared" si="6"/>
        <v>G9BDJ: 2022 Flow Computer Rplmt-SD</v>
      </c>
      <c r="C63" s="15"/>
      <c r="D63" s="24">
        <f t="shared" si="7"/>
        <v>2022</v>
      </c>
      <c r="F63" s="22">
        <v>0</v>
      </c>
      <c r="G63" s="18"/>
      <c r="H63" s="22">
        <v>0</v>
      </c>
      <c r="I63" s="18"/>
      <c r="J63" s="22">
        <v>0</v>
      </c>
      <c r="K63" s="18"/>
      <c r="L63" s="22">
        <f>'G9BDJ  Acct1'!I110</f>
        <v>1477.78</v>
      </c>
      <c r="M63" s="18"/>
      <c r="N63" s="22">
        <v>0</v>
      </c>
      <c r="O63" s="18"/>
      <c r="P63" s="22">
        <f t="shared" si="8"/>
        <v>1477.78</v>
      </c>
      <c r="R63" s="22">
        <f>'G9BDJ  Acct1'!I67</f>
        <v>2728.1999999999994</v>
      </c>
      <c r="T63" s="22">
        <f>+'G9BDJ  Acct1'!M110</f>
        <v>116.36</v>
      </c>
    </row>
    <row r="64" spans="1:20">
      <c r="A64" s="20">
        <f t="shared" si="9"/>
        <v>32</v>
      </c>
      <c r="B64" s="15" t="str">
        <f t="shared" si="6"/>
        <v>GHBDH: 2022 Odorizer Replacement - SD</v>
      </c>
      <c r="C64" s="15"/>
      <c r="D64" s="24">
        <f t="shared" si="7"/>
        <v>2022</v>
      </c>
      <c r="F64" s="22">
        <v>0</v>
      </c>
      <c r="G64" s="18"/>
      <c r="H64" s="22">
        <v>0</v>
      </c>
      <c r="I64" s="18"/>
      <c r="J64" s="22">
        <v>0</v>
      </c>
      <c r="K64" s="18"/>
      <c r="L64" s="22">
        <f>'G9BDH Acct1'!I110</f>
        <v>4314.4399999999996</v>
      </c>
      <c r="M64" s="18"/>
      <c r="N64" s="22">
        <v>0</v>
      </c>
      <c r="O64" s="18"/>
      <c r="P64" s="22">
        <f t="shared" ref="P64" si="10">SUM(F64:N64)</f>
        <v>4314.4399999999996</v>
      </c>
      <c r="R64" s="22">
        <f>'G9BDH Acct1'!I67</f>
        <v>7965.1200000000017</v>
      </c>
      <c r="T64" s="22">
        <f>+'G9BDH Acct1'!M110</f>
        <v>339.76</v>
      </c>
    </row>
    <row r="65" spans="1:20">
      <c r="A65" s="20">
        <f t="shared" si="9"/>
        <v>33</v>
      </c>
      <c r="B65" s="15" t="str">
        <f t="shared" si="6"/>
        <v>G99BX: SFS: LaMesa &amp; 60th - NW 250 Psig</v>
      </c>
      <c r="C65" s="15"/>
      <c r="D65" s="24">
        <f t="shared" si="7"/>
        <v>2023</v>
      </c>
      <c r="F65" s="22">
        <v>0</v>
      </c>
      <c r="G65" s="18"/>
      <c r="H65" s="22">
        <v>0</v>
      </c>
      <c r="I65" s="18"/>
      <c r="J65" s="22">
        <v>0</v>
      </c>
      <c r="K65" s="18"/>
      <c r="L65" s="22">
        <f>'G99BX Acct1'!I110</f>
        <v>29314.22</v>
      </c>
      <c r="M65" s="18"/>
      <c r="N65" s="22">
        <v>0</v>
      </c>
      <c r="O65" s="18"/>
      <c r="P65" s="22">
        <f t="shared" si="8"/>
        <v>29314.22</v>
      </c>
      <c r="R65" s="22">
        <f>'G99BX Acct1'!I67</f>
        <v>54118.55999999999</v>
      </c>
      <c r="T65" s="22">
        <f>+'G99BX Acct1'!M110</f>
        <v>4309.18</v>
      </c>
    </row>
    <row r="66" spans="1:20">
      <c r="A66" s="20">
        <f t="shared" si="9"/>
        <v>34</v>
      </c>
      <c r="B66" s="15" t="str">
        <f t="shared" si="6"/>
        <v>G99HL: SFS W 85th St HP: Tea-Sundown'r</v>
      </c>
      <c r="C66" s="15"/>
      <c r="D66" s="24">
        <f t="shared" si="7"/>
        <v>2023</v>
      </c>
      <c r="F66" s="22">
        <v>0</v>
      </c>
      <c r="G66" s="18"/>
      <c r="H66" s="22">
        <v>0</v>
      </c>
      <c r="I66" s="18"/>
      <c r="J66" s="22">
        <v>0</v>
      </c>
      <c r="K66" s="18"/>
      <c r="L66" s="22">
        <f>'G99HL Acct1'!I110</f>
        <v>5308.29</v>
      </c>
      <c r="M66" s="18"/>
      <c r="N66" s="22">
        <v>0</v>
      </c>
      <c r="O66" s="18"/>
      <c r="P66" s="22">
        <f t="shared" si="8"/>
        <v>5308.29</v>
      </c>
      <c r="R66" s="22">
        <f>'G99HL Acct1'!I67</f>
        <v>9799.92</v>
      </c>
      <c r="T66" s="22">
        <f>+'G99HL Acct1'!M110</f>
        <v>780.32</v>
      </c>
    </row>
    <row r="67" spans="1:20">
      <c r="A67" s="20">
        <f t="shared" si="9"/>
        <v>35</v>
      </c>
      <c r="B67" s="15" t="str">
        <f t="shared" si="6"/>
        <v>G9BAM: SFS: Minnesota Ave 2nd-10th</v>
      </c>
      <c r="C67" s="15"/>
      <c r="D67" s="24">
        <f t="shared" si="7"/>
        <v>2023</v>
      </c>
      <c r="F67" s="22">
        <v>0</v>
      </c>
      <c r="G67" s="18"/>
      <c r="H67" s="22">
        <v>0</v>
      </c>
      <c r="I67" s="18"/>
      <c r="J67" s="22">
        <v>0</v>
      </c>
      <c r="K67" s="18"/>
      <c r="L67" s="22">
        <f>'G9BAM Acct1'!I110</f>
        <v>4462.8999999999996</v>
      </c>
      <c r="M67" s="18"/>
      <c r="N67" s="22">
        <v>0</v>
      </c>
      <c r="O67" s="18"/>
      <c r="P67" s="22">
        <f t="shared" si="8"/>
        <v>4462.8999999999996</v>
      </c>
      <c r="R67" s="22">
        <f>'G9BAM Acct1'!I67</f>
        <v>8239.2000000000025</v>
      </c>
      <c r="T67" s="22">
        <f>+'G9BAM Acct1'!M110</f>
        <v>656.04</v>
      </c>
    </row>
    <row r="68" spans="1:20">
      <c r="A68" s="20">
        <f t="shared" si="9"/>
        <v>36</v>
      </c>
      <c r="B68" s="15" t="str">
        <f t="shared" si="6"/>
        <v>G99B4: SFS: Brandon Splitrock Blvd 6"</v>
      </c>
      <c r="C68" s="15"/>
      <c r="D68" s="24">
        <f t="shared" si="7"/>
        <v>2023</v>
      </c>
      <c r="F68" s="22">
        <v>0</v>
      </c>
      <c r="G68" s="18"/>
      <c r="H68" s="22">
        <v>0</v>
      </c>
      <c r="I68" s="18"/>
      <c r="J68" s="22">
        <v>0</v>
      </c>
      <c r="K68" s="18"/>
      <c r="L68" s="22">
        <f>'G99B4 Acct1'!I110</f>
        <v>16107.2</v>
      </c>
      <c r="M68" s="18"/>
      <c r="N68" s="22">
        <v>0</v>
      </c>
      <c r="O68" s="18"/>
      <c r="P68" s="22">
        <f t="shared" si="8"/>
        <v>16107.2</v>
      </c>
      <c r="R68" s="22">
        <f>'G99B4 Acct1'!I67</f>
        <v>29736.359999999997</v>
      </c>
      <c r="T68" s="22">
        <f>+'G99B4 Acct1'!M110</f>
        <v>2367.7600000000002</v>
      </c>
    </row>
    <row r="69" spans="1:20">
      <c r="A69" s="20">
        <f t="shared" si="9"/>
        <v>37</v>
      </c>
      <c r="B69" s="15" t="str">
        <f t="shared" si="6"/>
        <v>G99I0: SFS Tea Serve Load</v>
      </c>
      <c r="C69" s="15"/>
      <c r="D69" s="24">
        <f t="shared" si="7"/>
        <v>2023</v>
      </c>
      <c r="F69" s="22">
        <v>0</v>
      </c>
      <c r="G69" s="18"/>
      <c r="H69" s="22">
        <v>0</v>
      </c>
      <c r="I69" s="18"/>
      <c r="J69" s="22">
        <v>0</v>
      </c>
      <c r="K69" s="18"/>
      <c r="L69" s="22">
        <f>'G99I0 Acct1'!I110</f>
        <v>19388.14</v>
      </c>
      <c r="M69" s="18"/>
      <c r="N69" s="22">
        <v>0</v>
      </c>
      <c r="O69" s="18"/>
      <c r="P69" s="22">
        <f t="shared" si="8"/>
        <v>19388.14</v>
      </c>
      <c r="R69" s="22">
        <f>'G99I0 Acct1'!I67</f>
        <v>35793.480000000003</v>
      </c>
      <c r="T69" s="22">
        <f>+'G99I0 Acct1'!M110</f>
        <v>2850.04</v>
      </c>
    </row>
    <row r="70" spans="1:20">
      <c r="A70" s="20">
        <f t="shared" si="9"/>
        <v>38</v>
      </c>
      <c r="B70" s="15" t="str">
        <f t="shared" si="6"/>
        <v>G9BDN: SFS: Hwy 42 and Highway 11 Reb</v>
      </c>
      <c r="C70" s="15"/>
      <c r="D70" s="24">
        <f t="shared" si="7"/>
        <v>2023</v>
      </c>
      <c r="F70" s="22">
        <v>0</v>
      </c>
      <c r="G70" s="18"/>
      <c r="H70" s="22">
        <v>0</v>
      </c>
      <c r="I70" s="18"/>
      <c r="J70" s="22">
        <v>0</v>
      </c>
      <c r="K70" s="18"/>
      <c r="L70" s="22">
        <f>'G9BDN Acct1'!I110</f>
        <v>2914.02</v>
      </c>
      <c r="M70" s="18"/>
      <c r="N70" s="22">
        <v>0</v>
      </c>
      <c r="O70" s="18"/>
      <c r="P70" s="22">
        <f t="shared" si="8"/>
        <v>2914.02</v>
      </c>
      <c r="R70" s="22">
        <f>'G9BDN Acct1'!I67</f>
        <v>5379.7200000000012</v>
      </c>
      <c r="T70" s="22">
        <f>+'G9BDN Acct1'!M110</f>
        <v>428.35</v>
      </c>
    </row>
    <row r="71" spans="1:20">
      <c r="A71" s="20">
        <f t="shared" si="9"/>
        <v>39</v>
      </c>
      <c r="B71" s="15" t="str">
        <f t="shared" si="6"/>
        <v>G9BDU: SFS 85th St to I29</v>
      </c>
      <c r="C71" s="15"/>
      <c r="D71" s="24">
        <f t="shared" si="7"/>
        <v>2023</v>
      </c>
      <c r="F71" s="22">
        <v>0</v>
      </c>
      <c r="G71" s="18"/>
      <c r="H71" s="22">
        <v>0</v>
      </c>
      <c r="I71" s="18"/>
      <c r="J71" s="22">
        <v>0</v>
      </c>
      <c r="K71" s="18"/>
      <c r="L71" s="22">
        <f>'G9BDU Acct1'!I110</f>
        <v>1610.64</v>
      </c>
      <c r="M71" s="18"/>
      <c r="N71" s="22">
        <v>0</v>
      </c>
      <c r="O71" s="18"/>
      <c r="P71" s="22">
        <f t="shared" si="8"/>
        <v>1610.64</v>
      </c>
      <c r="R71" s="22">
        <f>'G9BDU Acct1'!I67</f>
        <v>2973.48</v>
      </c>
      <c r="T71" s="22">
        <f>+'G9BDU Acct1'!M110</f>
        <v>236.72</v>
      </c>
    </row>
    <row r="72" spans="1:20">
      <c r="A72" s="20">
        <f t="shared" si="9"/>
        <v>40</v>
      </c>
      <c r="B72" s="15" t="str">
        <f t="shared" si="6"/>
        <v>G99L3: SFS I229 210PSIG Expansion</v>
      </c>
      <c r="C72" s="15"/>
      <c r="D72" s="24">
        <f t="shared" si="7"/>
        <v>2023</v>
      </c>
      <c r="F72" s="22">
        <v>0</v>
      </c>
      <c r="G72" s="18"/>
      <c r="H72" s="22">
        <v>0</v>
      </c>
      <c r="I72" s="18"/>
      <c r="J72" s="22">
        <v>0</v>
      </c>
      <c r="K72" s="18"/>
      <c r="L72" s="22">
        <f>'G99L3 Acct1'!I110</f>
        <v>13071.11</v>
      </c>
      <c r="M72" s="18"/>
      <c r="N72" s="22">
        <v>0</v>
      </c>
      <c r="O72" s="18"/>
      <c r="P72" s="22">
        <f t="shared" si="8"/>
        <v>13071.11</v>
      </c>
      <c r="R72" s="22">
        <f>'G99L3 Acct1'!I67</f>
        <v>24131.279999999999</v>
      </c>
      <c r="T72" s="22">
        <f>'G99L3 Acct1'!M110</f>
        <v>1921.45</v>
      </c>
    </row>
    <row r="73" spans="1:20">
      <c r="A73" s="20">
        <f t="shared" si="9"/>
        <v>41</v>
      </c>
      <c r="B73" s="15" t="str">
        <f t="shared" si="6"/>
        <v>G9BDM: 2023 Flow Computer Repl-SD</v>
      </c>
      <c r="C73" s="15"/>
      <c r="D73" s="24">
        <f t="shared" si="7"/>
        <v>2023</v>
      </c>
      <c r="F73" s="22">
        <v>0</v>
      </c>
      <c r="G73" s="18"/>
      <c r="H73" s="22">
        <v>0</v>
      </c>
      <c r="I73" s="18"/>
      <c r="J73" s="22">
        <v>0</v>
      </c>
      <c r="K73" s="18"/>
      <c r="L73" s="22">
        <f>SUM('G9BDM Acct1'!I110)</f>
        <v>1596.34</v>
      </c>
      <c r="M73" s="18"/>
      <c r="N73" s="22">
        <v>0</v>
      </c>
      <c r="O73" s="18"/>
      <c r="P73" s="22">
        <f t="shared" si="8"/>
        <v>1596.34</v>
      </c>
      <c r="R73" s="22">
        <f>'G9BDM Acct1'!I67</f>
        <v>2947.0800000000004</v>
      </c>
      <c r="T73" s="88">
        <f>'G9BDM Acct1'!M110</f>
        <v>125.72</v>
      </c>
    </row>
    <row r="74" spans="1:20">
      <c r="A74" s="20">
        <f t="shared" si="9"/>
        <v>42</v>
      </c>
      <c r="B74" s="15" t="str">
        <f t="shared" si="6"/>
        <v>G9BDG: SFS: West TBS Capacity</v>
      </c>
      <c r="C74" s="15"/>
      <c r="D74" s="24">
        <f t="shared" si="7"/>
        <v>2023</v>
      </c>
      <c r="F74" s="22">
        <v>0</v>
      </c>
      <c r="G74" s="18"/>
      <c r="H74" s="22">
        <v>0</v>
      </c>
      <c r="I74" s="18"/>
      <c r="J74" s="22">
        <v>0</v>
      </c>
      <c r="K74" s="18"/>
      <c r="L74" s="22">
        <f>SUM('G9BDG Acct1'!I110)</f>
        <v>2587</v>
      </c>
      <c r="M74" s="18"/>
      <c r="N74" s="22">
        <v>0</v>
      </c>
      <c r="O74" s="18"/>
      <c r="P74" s="22">
        <f t="shared" ref="P74" si="11">SUM(F74:N74)</f>
        <v>2587</v>
      </c>
      <c r="R74" s="22">
        <f>'G9BDG Acct1'!I67</f>
        <v>4776</v>
      </c>
      <c r="T74" s="88">
        <f>'G9BDG Acct1'!M110</f>
        <v>203.72</v>
      </c>
    </row>
    <row r="75" spans="1:20">
      <c r="A75" s="20">
        <f t="shared" si="9"/>
        <v>43</v>
      </c>
      <c r="B75" s="15" t="str">
        <f t="shared" si="6"/>
        <v>G9BDQ: SFS: 60th St N 250Psig Upgrade</v>
      </c>
      <c r="C75" s="15"/>
      <c r="D75" s="24">
        <f t="shared" si="7"/>
        <v>2023</v>
      </c>
      <c r="F75" s="22">
        <v>0</v>
      </c>
      <c r="G75" s="18"/>
      <c r="H75" s="22">
        <v>0</v>
      </c>
      <c r="I75" s="18"/>
      <c r="J75" s="22">
        <v>0</v>
      </c>
      <c r="K75" s="18"/>
      <c r="L75" s="22">
        <f>SUM('G9BDQ Acct1'!I110,'G9BDQ Acct2'!I110)</f>
        <v>22041.25</v>
      </c>
      <c r="M75" s="18"/>
      <c r="N75" s="22">
        <v>0</v>
      </c>
      <c r="O75" s="18"/>
      <c r="P75" s="22">
        <f t="shared" ref="P75" si="12">SUM(F75:N75)</f>
        <v>22041.25</v>
      </c>
      <c r="R75" s="22">
        <f>'G9BDQ Acct1'!I67+'G9BDQ Acct2'!I67</f>
        <v>40691.520000000004</v>
      </c>
      <c r="T75" s="88">
        <f>'G9BDQ Acct1'!M110+'G9BDQ Acct2'!M110</f>
        <v>3240.0699999999997</v>
      </c>
    </row>
    <row r="76" spans="1:20">
      <c r="A76" s="20">
        <f t="shared" si="9"/>
        <v>44</v>
      </c>
      <c r="B76" s="15" t="str">
        <f t="shared" si="6"/>
        <v>G0BDL: 2023 Odorizer Replacement - SD</v>
      </c>
      <c r="C76" s="15"/>
      <c r="D76" s="24">
        <f t="shared" si="7"/>
        <v>2023</v>
      </c>
      <c r="F76" s="22">
        <v>0</v>
      </c>
      <c r="G76" s="18"/>
      <c r="H76" s="22">
        <v>0</v>
      </c>
      <c r="I76" s="18"/>
      <c r="J76" s="22">
        <v>0</v>
      </c>
      <c r="K76" s="18"/>
      <c r="L76" s="22">
        <f>SUM('G9BDL Acct1'!I110)</f>
        <v>7829.51</v>
      </c>
      <c r="M76" s="18"/>
      <c r="N76" s="22">
        <v>0</v>
      </c>
      <c r="O76" s="18"/>
      <c r="P76" s="22">
        <f t="shared" ref="P76" si="13">SUM(F76:N76)</f>
        <v>7829.51</v>
      </c>
      <c r="R76" s="22">
        <f>'G9BDL Acct1'!I67</f>
        <v>14454.480000000003</v>
      </c>
      <c r="T76" s="88">
        <f>'G9BDL Acct1'!M110</f>
        <v>616.59</v>
      </c>
    </row>
    <row r="77" spans="1:20">
      <c r="A77" s="20"/>
      <c r="B77" s="15"/>
      <c r="C77" s="15"/>
      <c r="D77" s="24"/>
      <c r="F77" s="25"/>
      <c r="G77" s="18"/>
      <c r="H77" s="25"/>
      <c r="I77" s="18"/>
      <c r="J77" s="25"/>
      <c r="K77" s="18"/>
      <c r="L77" s="25"/>
      <c r="M77" s="18"/>
      <c r="N77" s="25"/>
      <c r="O77" s="18"/>
      <c r="P77" s="25"/>
      <c r="R77" s="25"/>
    </row>
    <row r="78" spans="1:20" ht="12" thickBot="1">
      <c r="B78" s="26" t="str">
        <f t="shared" ref="B78:B83" si="14">B35</f>
        <v>TOTAL</v>
      </c>
      <c r="D78" s="16" t="str">
        <f>D35</f>
        <v xml:space="preserve"> </v>
      </c>
      <c r="F78" s="21">
        <f>SUM(F55:F77)</f>
        <v>0</v>
      </c>
      <c r="G78" s="18"/>
      <c r="H78" s="21">
        <f>SUM(H55:H77)</f>
        <v>0</v>
      </c>
      <c r="I78" s="18"/>
      <c r="J78" s="21">
        <f>SUM(J55:J77)</f>
        <v>0</v>
      </c>
      <c r="K78" s="18"/>
      <c r="L78" s="21">
        <f>SUM(L55:L77)</f>
        <v>205267.33000000005</v>
      </c>
      <c r="M78" s="18"/>
      <c r="N78" s="21">
        <f>SUM(N55:N77)</f>
        <v>0</v>
      </c>
      <c r="O78" s="18"/>
      <c r="P78" s="21">
        <f>SUM(P55:P77)</f>
        <v>205267.33000000005</v>
      </c>
      <c r="Q78" s="27"/>
      <c r="R78" s="21">
        <f>SUM(R55:R77)</f>
        <v>378954.96</v>
      </c>
      <c r="T78" s="21">
        <f>SUM(T55:T77)</f>
        <v>28959.030000000006</v>
      </c>
    </row>
    <row r="79" spans="1:20" ht="12" thickTop="1">
      <c r="B79" s="15" t="str">
        <f t="shared" si="14"/>
        <v xml:space="preserve"> </v>
      </c>
      <c r="D79" s="16" t="str">
        <f>D36</f>
        <v xml:space="preserve"> 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 t="s">
        <v>10</v>
      </c>
      <c r="Q79" s="27"/>
      <c r="R79" s="27"/>
    </row>
    <row r="80" spans="1:20">
      <c r="B80" s="15" t="str">
        <f t="shared" si="14"/>
        <v xml:space="preserve"> </v>
      </c>
      <c r="D80" s="16" t="str">
        <f>D37</f>
        <v xml:space="preserve"> 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27" t="s">
        <v>10</v>
      </c>
      <c r="R80" s="18"/>
    </row>
    <row r="81" spans="2:18">
      <c r="B81" s="15" t="str">
        <f t="shared" si="14"/>
        <v xml:space="preserve"> 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7" t="s">
        <v>10</v>
      </c>
      <c r="R81" s="18"/>
    </row>
    <row r="82" spans="2:18">
      <c r="B82" s="15" t="str">
        <f t="shared" si="14"/>
        <v xml:space="preserve"> 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27" t="s">
        <v>10</v>
      </c>
      <c r="R82" s="18"/>
    </row>
    <row r="83" spans="2:18">
      <c r="B83" s="15" t="str">
        <f t="shared" si="14"/>
        <v xml:space="preserve"> 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27" t="s">
        <v>10</v>
      </c>
      <c r="R83" s="18"/>
    </row>
    <row r="84" spans="2:18"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R84" s="18"/>
    </row>
    <row r="85" spans="2:18"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R85" s="18"/>
    </row>
    <row r="86" spans="2:18"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R86" s="18"/>
    </row>
    <row r="87" spans="2:18"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R87" s="18"/>
    </row>
    <row r="88" spans="2:18"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R88" s="18"/>
    </row>
    <row r="89" spans="2:18"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R89" s="18"/>
    </row>
    <row r="92" spans="2:18">
      <c r="R92" s="18"/>
    </row>
  </sheetData>
  <mergeCells count="8">
    <mergeCell ref="A46:R46"/>
    <mergeCell ref="A47:R47"/>
    <mergeCell ref="A48:R48"/>
    <mergeCell ref="A1:R1"/>
    <mergeCell ref="A2:R2"/>
    <mergeCell ref="A3:R3"/>
    <mergeCell ref="A4:R4"/>
    <mergeCell ref="A45:R45"/>
  </mergeCells>
  <pageMargins left="0.75" right="0.75" top="1" bottom="1" header="0.5" footer="0.5"/>
  <pageSetup scale="65" fitToHeight="2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44" min="1" max="1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3.25" customHeight="1">
      <c r="A3" s="49" t="str">
        <f>'G9BDB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'G9BDB Input'!F6</f>
        <v>SFS: Rice St 210 Line Upgrade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'G9BDB Input'!B13</f>
        <v>44180</v>
      </c>
      <c r="D15" s="55"/>
      <c r="E15" s="56">
        <f>'G9BDB Input'!D13*'G9BDB Input'!$D$7*'G9BDB Input'!$H$7</f>
        <v>0</v>
      </c>
      <c r="F15" s="57"/>
      <c r="G15" s="56">
        <f>'G9BDB Input'!D27*'G9BDB Input'!D6*'G9BDB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'G9BDB Input'!B14</f>
        <v>44211</v>
      </c>
      <c r="D16" s="55"/>
      <c r="E16" s="58">
        <f>'G9BDB Input'!D14*'G9BDB Input'!$D$7*'G9BDB Input'!$H$7</f>
        <v>0</v>
      </c>
      <c r="F16" s="57"/>
      <c r="G16" s="58">
        <f>'G9BDB Input'!D28*'G9BDB Input'!D7*'G9BDB Input'!H7</f>
        <v>877023</v>
      </c>
      <c r="H16" s="57"/>
      <c r="I16" s="58">
        <f t="shared" si="0"/>
        <v>877023</v>
      </c>
    </row>
    <row r="17" spans="1:10">
      <c r="A17" s="48">
        <f t="shared" si="1"/>
        <v>3</v>
      </c>
      <c r="C17" s="55">
        <f>'G9BDB Input'!B15</f>
        <v>44241</v>
      </c>
      <c r="D17" s="55"/>
      <c r="E17" s="58">
        <f>'G9BDB Input'!D15*'G9BDB Input'!$D$7*'G9BDB Input'!$H$7</f>
        <v>0</v>
      </c>
      <c r="F17" s="57"/>
      <c r="G17" s="59">
        <f t="shared" ref="G17:G27" si="2">$G$16</f>
        <v>877023</v>
      </c>
      <c r="H17" s="57"/>
      <c r="I17" s="59">
        <f t="shared" si="0"/>
        <v>877023</v>
      </c>
      <c r="J17" s="57"/>
    </row>
    <row r="18" spans="1:10">
      <c r="A18" s="48">
        <f t="shared" si="1"/>
        <v>4</v>
      </c>
      <c r="C18" s="55">
        <f>'G9BDB Input'!B16</f>
        <v>44271</v>
      </c>
      <c r="D18" s="55"/>
      <c r="E18" s="58">
        <f>'G9BDB Input'!D16*'G9BDB Input'!$D$7*'G9BDB Input'!$H$7</f>
        <v>0</v>
      </c>
      <c r="F18" s="57"/>
      <c r="G18" s="59">
        <f t="shared" si="2"/>
        <v>877023</v>
      </c>
      <c r="H18" s="57"/>
      <c r="I18" s="59">
        <f t="shared" si="0"/>
        <v>877023</v>
      </c>
      <c r="J18" s="57"/>
    </row>
    <row r="19" spans="1:10">
      <c r="A19" s="48">
        <f t="shared" si="1"/>
        <v>5</v>
      </c>
      <c r="C19" s="55">
        <f>'G9BDB Input'!B17</f>
        <v>44301</v>
      </c>
      <c r="D19" s="55"/>
      <c r="E19" s="58">
        <f>'G9BDB Input'!D17*'G9BDB Input'!$D$7*'G9BDB Input'!$H$7</f>
        <v>0</v>
      </c>
      <c r="F19" s="57"/>
      <c r="G19" s="59">
        <f t="shared" si="2"/>
        <v>877023</v>
      </c>
      <c r="H19" s="57"/>
      <c r="I19" s="59">
        <f t="shared" si="0"/>
        <v>877023</v>
      </c>
      <c r="J19" s="57"/>
    </row>
    <row r="20" spans="1:10">
      <c r="A20" s="48">
        <f t="shared" si="1"/>
        <v>6</v>
      </c>
      <c r="C20" s="55">
        <f>'G9BDB Input'!B18</f>
        <v>44331</v>
      </c>
      <c r="D20" s="55"/>
      <c r="E20" s="58">
        <f>'G9BDB Input'!D18*'G9BDB Input'!$D$7*'G9BDB Input'!$H$7</f>
        <v>0</v>
      </c>
      <c r="F20" s="57"/>
      <c r="G20" s="59">
        <f t="shared" si="2"/>
        <v>877023</v>
      </c>
      <c r="H20" s="57"/>
      <c r="I20" s="59">
        <f t="shared" si="0"/>
        <v>877023</v>
      </c>
      <c r="J20" s="57"/>
    </row>
    <row r="21" spans="1:10">
      <c r="A21" s="48">
        <f t="shared" si="1"/>
        <v>7</v>
      </c>
      <c r="C21" s="55">
        <f>'G9BDB Input'!B19</f>
        <v>44361</v>
      </c>
      <c r="D21" s="55"/>
      <c r="E21" s="58">
        <f>'G9BDB Input'!D19*'G9BDB Input'!$D$7*'G9BDB Input'!$H$7</f>
        <v>0</v>
      </c>
      <c r="F21" s="57"/>
      <c r="G21" s="59">
        <f t="shared" si="2"/>
        <v>877023</v>
      </c>
      <c r="H21" s="57"/>
      <c r="I21" s="59">
        <f t="shared" si="0"/>
        <v>877023</v>
      </c>
      <c r="J21" s="57"/>
    </row>
    <row r="22" spans="1:10">
      <c r="A22" s="48">
        <f t="shared" si="1"/>
        <v>8</v>
      </c>
      <c r="C22" s="55">
        <f>'G9BDB Input'!B20</f>
        <v>44391</v>
      </c>
      <c r="D22" s="55"/>
      <c r="E22" s="58">
        <f>'G9BDB Input'!D20*'G9BDB Input'!$D$7*'G9BDB Input'!$H$7</f>
        <v>0</v>
      </c>
      <c r="F22" s="57"/>
      <c r="G22" s="59">
        <f t="shared" si="2"/>
        <v>877023</v>
      </c>
      <c r="H22" s="57"/>
      <c r="I22" s="59">
        <f t="shared" si="0"/>
        <v>877023</v>
      </c>
      <c r="J22" s="57"/>
    </row>
    <row r="23" spans="1:10">
      <c r="A23" s="48">
        <f t="shared" si="1"/>
        <v>9</v>
      </c>
      <c r="C23" s="55">
        <f>'G9BDB Input'!B21</f>
        <v>44421</v>
      </c>
      <c r="D23" s="55"/>
      <c r="E23" s="58">
        <f>'G9BDB Input'!D21*'G9BDB Input'!$D$7*'G9BDB Input'!$H$7</f>
        <v>0</v>
      </c>
      <c r="F23" s="57"/>
      <c r="G23" s="59">
        <f t="shared" si="2"/>
        <v>877023</v>
      </c>
      <c r="H23" s="57"/>
      <c r="I23" s="59">
        <f t="shared" si="0"/>
        <v>877023</v>
      </c>
      <c r="J23" s="57"/>
    </row>
    <row r="24" spans="1:10">
      <c r="A24" s="48">
        <f t="shared" si="1"/>
        <v>10</v>
      </c>
      <c r="C24" s="55">
        <f>'G9BDB Input'!B22</f>
        <v>44451</v>
      </c>
      <c r="D24" s="55"/>
      <c r="E24" s="58">
        <f>'G9BDB Input'!D22*'G9BDB Input'!$D$7*'G9BDB Input'!$H$7</f>
        <v>0</v>
      </c>
      <c r="F24" s="57"/>
      <c r="G24" s="59">
        <f t="shared" si="2"/>
        <v>877023</v>
      </c>
      <c r="H24" s="57"/>
      <c r="I24" s="59">
        <f t="shared" si="0"/>
        <v>877023</v>
      </c>
      <c r="J24" s="57"/>
    </row>
    <row r="25" spans="1:10">
      <c r="A25" s="48">
        <f t="shared" si="1"/>
        <v>11</v>
      </c>
      <c r="C25" s="55">
        <f>'G9BDB Input'!B23</f>
        <v>44481</v>
      </c>
      <c r="D25" s="55"/>
      <c r="E25" s="58">
        <f>'G9BDB Input'!D23*'G9BDB Input'!$D$7*'G9BDB Input'!$H$7</f>
        <v>0</v>
      </c>
      <c r="F25" s="57"/>
      <c r="G25" s="59">
        <f t="shared" si="2"/>
        <v>877023</v>
      </c>
      <c r="H25" s="57"/>
      <c r="I25" s="59">
        <f t="shared" si="0"/>
        <v>877023</v>
      </c>
      <c r="J25" s="57"/>
    </row>
    <row r="26" spans="1:10">
      <c r="A26" s="48">
        <f t="shared" si="1"/>
        <v>12</v>
      </c>
      <c r="C26" s="55">
        <f>'G9BDB Input'!B24</f>
        <v>44511</v>
      </c>
      <c r="D26" s="55"/>
      <c r="E26" s="58">
        <f>'G9BDB Input'!D24*'G9BDB Input'!$D$7*'G9BDB Input'!$H$7</f>
        <v>0</v>
      </c>
      <c r="F26" s="57"/>
      <c r="G26" s="59">
        <f t="shared" si="2"/>
        <v>877023</v>
      </c>
      <c r="H26" s="57"/>
      <c r="I26" s="59">
        <f t="shared" si="0"/>
        <v>877023</v>
      </c>
      <c r="J26" s="57"/>
    </row>
    <row r="27" spans="1:10">
      <c r="A27" s="48">
        <f t="shared" si="1"/>
        <v>13</v>
      </c>
      <c r="C27" s="55">
        <f>'G9BDB Input'!B25</f>
        <v>44541</v>
      </c>
      <c r="D27" s="55"/>
      <c r="E27" s="60">
        <f>'G9BDB Input'!D25*'G9BDB Input'!$D$7*'G9BDB Input'!$H$7</f>
        <v>0</v>
      </c>
      <c r="F27" s="57"/>
      <c r="G27" s="61">
        <f t="shared" si="2"/>
        <v>877023</v>
      </c>
      <c r="H27" s="57"/>
      <c r="I27" s="61">
        <f t="shared" si="0"/>
        <v>877023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10524276</v>
      </c>
      <c r="H28" s="64"/>
      <c r="I28" s="63">
        <f>SUM(I16:I27)</f>
        <v>10524276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877023</v>
      </c>
      <c r="H30" s="64"/>
      <c r="I30" s="66">
        <f>ROUND(+I28/12,2)</f>
        <v>877023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877023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'G9BDB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'G9BDB Input'!F6</f>
        <v>SFS: Rice St 210 Line Upgrade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'G9BDB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"&amp;'G9BDB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'G9BDB TotalWO'!C15</f>
        <v>44180</v>
      </c>
      <c r="D15" s="55"/>
      <c r="E15" s="56">
        <f>'G9BDB TotalWO'!E15*'G9BDB Input'!$H$13</f>
        <v>0</v>
      </c>
      <c r="F15" s="68"/>
      <c r="G15" s="56">
        <f>'G9BDB TotalWO'!G15*'G9BDB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'G9BDB TotalWO'!C16</f>
        <v>44211</v>
      </c>
      <c r="D16" s="55"/>
      <c r="E16" s="58">
        <f>'G9BDB TotalWO'!E16*'G9BDB Input'!$H$13</f>
        <v>0</v>
      </c>
      <c r="F16" s="68"/>
      <c r="G16" s="58">
        <f>'G9BDB TotalWO'!G16*'G9BDB Input'!$H$13</f>
        <v>877023</v>
      </c>
      <c r="H16" s="59"/>
      <c r="I16" s="58">
        <f t="shared" si="0"/>
        <v>877023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'G9BDB TotalWO'!E17*'G9BDB Input'!$H$13</f>
        <v>0</v>
      </c>
      <c r="F17" s="68"/>
      <c r="G17" s="68">
        <f>'G9BDB TotalWO'!G17*'G9BDB Input'!$H$13</f>
        <v>877023</v>
      </c>
      <c r="H17" s="59"/>
      <c r="I17" s="59">
        <f t="shared" si="0"/>
        <v>877023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'G9BDB TotalWO'!E18*'G9BDB Input'!$H$13</f>
        <v>0</v>
      </c>
      <c r="F18" s="68"/>
      <c r="G18" s="68">
        <f>'G9BDB TotalWO'!G18*'G9BDB Input'!$H$13</f>
        <v>877023</v>
      </c>
      <c r="H18" s="59"/>
      <c r="I18" s="59">
        <f t="shared" si="0"/>
        <v>877023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'G9BDB TotalWO'!E19*'G9BDB Input'!$H$13</f>
        <v>0</v>
      </c>
      <c r="F19" s="68"/>
      <c r="G19" s="68">
        <f>'G9BDB TotalWO'!G19*'G9BDB Input'!$H$13</f>
        <v>877023</v>
      </c>
      <c r="H19" s="59"/>
      <c r="I19" s="59">
        <f t="shared" si="0"/>
        <v>877023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'G9BDB TotalWO'!E20*'G9BDB Input'!$H$13</f>
        <v>0</v>
      </c>
      <c r="F20" s="68"/>
      <c r="G20" s="68">
        <f>'G9BDB TotalWO'!G20*'G9BDB Input'!$H$13</f>
        <v>877023</v>
      </c>
      <c r="H20" s="59"/>
      <c r="I20" s="59">
        <f t="shared" si="0"/>
        <v>877023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'G9BDB TotalWO'!E21*'G9BDB Input'!$H$13</f>
        <v>0</v>
      </c>
      <c r="F21" s="68"/>
      <c r="G21" s="68">
        <f>'G9BDB TotalWO'!G21*'G9BDB Input'!$H$13</f>
        <v>877023</v>
      </c>
      <c r="H21" s="59"/>
      <c r="I21" s="59">
        <f t="shared" si="0"/>
        <v>877023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'G9BDB TotalWO'!E22*'G9BDB Input'!$H$13</f>
        <v>0</v>
      </c>
      <c r="F22" s="68"/>
      <c r="G22" s="68">
        <f>'G9BDB TotalWO'!G22*'G9BDB Input'!$H$13</f>
        <v>877023</v>
      </c>
      <c r="H22" s="59"/>
      <c r="I22" s="59">
        <f t="shared" si="0"/>
        <v>877023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'G9BDB TotalWO'!E23*'G9BDB Input'!$H$13</f>
        <v>0</v>
      </c>
      <c r="F23" s="68"/>
      <c r="G23" s="68">
        <f>'G9BDB TotalWO'!G23*'G9BDB Input'!$H$13</f>
        <v>877023</v>
      </c>
      <c r="H23" s="59"/>
      <c r="I23" s="59">
        <f t="shared" si="0"/>
        <v>877023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'G9BDB TotalWO'!E24*'G9BDB Input'!$H$13</f>
        <v>0</v>
      </c>
      <c r="F24" s="68"/>
      <c r="G24" s="68">
        <f>'G9BDB TotalWO'!G24*'G9BDB Input'!$H$13</f>
        <v>877023</v>
      </c>
      <c r="H24" s="59"/>
      <c r="I24" s="59">
        <f t="shared" si="0"/>
        <v>877023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'G9BDB TotalWO'!E25*'G9BDB Input'!$H$13</f>
        <v>0</v>
      </c>
      <c r="F25" s="68"/>
      <c r="G25" s="68">
        <f>'G9BDB TotalWO'!G25*'G9BDB Input'!$H$13</f>
        <v>877023</v>
      </c>
      <c r="H25" s="59"/>
      <c r="I25" s="59">
        <f t="shared" si="0"/>
        <v>877023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'G9BDB TotalWO'!E26*'G9BDB Input'!$H$13</f>
        <v>0</v>
      </c>
      <c r="F26" s="68"/>
      <c r="G26" s="68">
        <f>'G9BDB TotalWO'!G26*'G9BDB Input'!$H$13</f>
        <v>877023</v>
      </c>
      <c r="H26" s="59"/>
      <c r="I26" s="59">
        <f t="shared" si="0"/>
        <v>877023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'G9BDB TotalWO'!E27*'G9BDB Input'!$H$13</f>
        <v>0</v>
      </c>
      <c r="F27" s="68"/>
      <c r="G27" s="71">
        <f>'G9BDB TotalWO'!G27*'G9BDB Input'!$H$13</f>
        <v>877023</v>
      </c>
      <c r="H27" s="59"/>
      <c r="I27" s="61">
        <f t="shared" si="0"/>
        <v>877023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10524276</v>
      </c>
      <c r="H28" s="64"/>
      <c r="I28" s="63">
        <f>SUM(I16:I27)</f>
        <v>10524276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877023</v>
      </c>
      <c r="H30" s="64"/>
      <c r="I30" s="66">
        <f>ROUND(+I28/12,2)</f>
        <v>877023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877023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183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2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Rice St 210 Line Upgrade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1612.17</v>
      </c>
      <c r="H53" s="64"/>
      <c r="I53" s="63">
        <f t="shared" ref="I53:I64" si="4">G53-E53</f>
        <v>1612.17</v>
      </c>
      <c r="K53" s="58"/>
      <c r="M53" s="63">
        <f>+ROUND(I53/I$67*M$67,2)</f>
        <v>236.99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1612.17</v>
      </c>
      <c r="H54" s="57"/>
      <c r="I54" s="59">
        <f t="shared" si="4"/>
        <v>1612.17</v>
      </c>
      <c r="M54" s="59">
        <f t="shared" ref="M54:M64" si="8">+ROUND(I54/I$67*M$67,2)</f>
        <v>236.99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1612.17</v>
      </c>
      <c r="H55" s="57"/>
      <c r="I55" s="59">
        <f t="shared" si="4"/>
        <v>1612.17</v>
      </c>
      <c r="M55" s="59">
        <f t="shared" si="8"/>
        <v>236.99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1612.17</v>
      </c>
      <c r="H56" s="57"/>
      <c r="I56" s="59">
        <f t="shared" si="4"/>
        <v>1612.17</v>
      </c>
      <c r="M56" s="59">
        <f t="shared" si="8"/>
        <v>236.99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1612.17</v>
      </c>
      <c r="H57" s="57"/>
      <c r="I57" s="59">
        <f t="shared" si="4"/>
        <v>1612.17</v>
      </c>
      <c r="M57" s="59">
        <f t="shared" si="8"/>
        <v>236.99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1612.17</v>
      </c>
      <c r="H58" s="57"/>
      <c r="I58" s="59">
        <f t="shared" si="4"/>
        <v>1612.17</v>
      </c>
      <c r="M58" s="59">
        <f t="shared" si="8"/>
        <v>236.99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1612.17</v>
      </c>
      <c r="H59" s="57"/>
      <c r="I59" s="59">
        <f t="shared" si="4"/>
        <v>1612.17</v>
      </c>
      <c r="M59" s="59">
        <f t="shared" si="8"/>
        <v>236.99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1612.17</v>
      </c>
      <c r="H60" s="57"/>
      <c r="I60" s="59">
        <f t="shared" si="4"/>
        <v>1612.17</v>
      </c>
      <c r="M60" s="59">
        <f t="shared" si="8"/>
        <v>236.99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1612.17</v>
      </c>
      <c r="H61" s="57"/>
      <c r="I61" s="59">
        <f t="shared" si="4"/>
        <v>1612.17</v>
      </c>
      <c r="M61" s="59">
        <f t="shared" si="8"/>
        <v>236.99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1612.17</v>
      </c>
      <c r="H62" s="57"/>
      <c r="I62" s="59">
        <f t="shared" si="4"/>
        <v>1612.17</v>
      </c>
      <c r="M62" s="59">
        <f>+ROUND(I62/I$67*M$67,2)+0.01</f>
        <v>237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1612.17</v>
      </c>
      <c r="H63" s="57"/>
      <c r="I63" s="59">
        <f t="shared" si="4"/>
        <v>1612.17</v>
      </c>
      <c r="M63" s="59">
        <f>+ROUND(I63/I$67*M$67,2)+0.01</f>
        <v>237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1612.17</v>
      </c>
      <c r="H64" s="57"/>
      <c r="I64" s="61">
        <f t="shared" si="4"/>
        <v>1612.17</v>
      </c>
      <c r="M64" s="61">
        <f t="shared" si="8"/>
        <v>236.99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19346.04</v>
      </c>
      <c r="H65" s="64"/>
      <c r="I65" s="63">
        <f>SUM(I53:I64)</f>
        <v>19346.04</v>
      </c>
      <c r="M65" s="63">
        <f>SUM(M53:M64)</f>
        <v>2843.8999999999996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19346.04</v>
      </c>
      <c r="K67" s="66">
        <f>ROUND(G16*K73,2)</f>
        <v>32888.36</v>
      </c>
      <c r="M67" s="66">
        <f>ROUND(+(K67-I67)*M73,2)</f>
        <v>2843.89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184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'G9BDB Input'!J13</f>
        <v>2.2058823529411766E-2</v>
      </c>
      <c r="F73" s="76"/>
      <c r="G73" s="76">
        <f>E73/12</f>
        <v>1.8382352941176473E-3</v>
      </c>
      <c r="K73" s="86">
        <f>+'G9BDB Input'!L13</f>
        <v>3.7499999999999999E-2</v>
      </c>
      <c r="M73" s="87">
        <f>+'G9BDB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2.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Rice St 210 Line Upgrade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1612.17</v>
      </c>
      <c r="H93" s="57"/>
      <c r="I93" s="58">
        <f t="shared" si="9"/>
        <v>1612.17</v>
      </c>
      <c r="M93" s="58">
        <f>+M53</f>
        <v>236.99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3224.34</v>
      </c>
      <c r="H94" s="57"/>
      <c r="I94" s="59">
        <f t="shared" si="9"/>
        <v>3224.34</v>
      </c>
      <c r="M94" s="59">
        <f>+M93+M54</f>
        <v>473.98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4836.51</v>
      </c>
      <c r="H95" s="57"/>
      <c r="I95" s="59">
        <f t="shared" si="9"/>
        <v>4836.51</v>
      </c>
      <c r="M95" s="59">
        <f t="shared" ref="M95:M104" si="14">+M94+M55</f>
        <v>710.97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6448.68</v>
      </c>
      <c r="H96" s="57"/>
      <c r="I96" s="59">
        <f t="shared" si="9"/>
        <v>6448.68</v>
      </c>
      <c r="M96" s="59">
        <f t="shared" si="14"/>
        <v>947.96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8060.85</v>
      </c>
      <c r="H97" s="57"/>
      <c r="I97" s="59">
        <f t="shared" si="9"/>
        <v>8060.85</v>
      </c>
      <c r="M97" s="59">
        <f t="shared" si="14"/>
        <v>1184.95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9673.02</v>
      </c>
      <c r="H98" s="57"/>
      <c r="I98" s="59">
        <f t="shared" si="9"/>
        <v>9673.02</v>
      </c>
      <c r="M98" s="59">
        <f t="shared" si="14"/>
        <v>1421.94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11285.19</v>
      </c>
      <c r="H99" s="57"/>
      <c r="I99" s="59">
        <f t="shared" si="9"/>
        <v>11285.19</v>
      </c>
      <c r="M99" s="59">
        <f t="shared" si="14"/>
        <v>1658.93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12897.36</v>
      </c>
      <c r="H100" s="57"/>
      <c r="I100" s="59">
        <f t="shared" si="9"/>
        <v>12897.36</v>
      </c>
      <c r="M100" s="59">
        <f t="shared" si="14"/>
        <v>1895.92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14509.53</v>
      </c>
      <c r="H101" s="57"/>
      <c r="I101" s="59">
        <f t="shared" si="9"/>
        <v>14509.53</v>
      </c>
      <c r="M101" s="59">
        <f t="shared" si="14"/>
        <v>2132.91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16121.7</v>
      </c>
      <c r="H102" s="57"/>
      <c r="I102" s="59">
        <f t="shared" si="9"/>
        <v>16121.7</v>
      </c>
      <c r="M102" s="59">
        <f t="shared" si="14"/>
        <v>2369.91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17733.870000000003</v>
      </c>
      <c r="H103" s="57"/>
      <c r="I103" s="59">
        <f t="shared" si="9"/>
        <v>17733.870000000003</v>
      </c>
      <c r="M103" s="59">
        <f t="shared" si="14"/>
        <v>2606.91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19346.04</v>
      </c>
      <c r="H104" s="57"/>
      <c r="I104" s="61">
        <f t="shared" si="9"/>
        <v>19346.04</v>
      </c>
      <c r="M104" s="61">
        <f t="shared" si="14"/>
        <v>2843.8999999999996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125749.26000000001</v>
      </c>
      <c r="H105" s="64"/>
      <c r="I105" s="63">
        <f>SUM(I93:I104)</f>
        <v>125749.26000000001</v>
      </c>
      <c r="M105" s="63">
        <f>SUM(M93:M104)</f>
        <v>18485.27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10479.11</v>
      </c>
      <c r="H107" s="64"/>
      <c r="I107" s="66">
        <f>ROUND(+I105/12,2)</f>
        <v>10479.11</v>
      </c>
      <c r="M107" s="66">
        <f>ROUND(+M105/12,2)</f>
        <v>1540.44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10479.11</v>
      </c>
      <c r="M110" s="78">
        <f>+M107</f>
        <v>1540.44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185</v>
      </c>
      <c r="M112" s="62" t="s">
        <v>186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4.75" customHeight="1">
      <c r="A3" s="121" t="str">
        <f>'G9BDB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'G9BDB Input'!F6</f>
        <v>SFS: Rice St 210 Line Upgrade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7" spans="1:12" ht="12.75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2"/>
      <c r="L7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25.5" customHeight="1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SFS: Rice St 210 Line Upgrade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3">
    <mergeCell ref="A72:L72"/>
    <mergeCell ref="A73:L73"/>
    <mergeCell ref="A1:L1"/>
    <mergeCell ref="A2:L2"/>
    <mergeCell ref="A3:L3"/>
    <mergeCell ref="A4:L4"/>
    <mergeCell ref="A5:L5"/>
    <mergeCell ref="A6:L6"/>
    <mergeCell ref="A7:L7"/>
    <mergeCell ref="A68:L68"/>
    <mergeCell ref="A69:L69"/>
    <mergeCell ref="A70:L70"/>
    <mergeCell ref="A71:L71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187</v>
      </c>
      <c r="E6" s="34"/>
      <c r="F6" s="127" t="s">
        <v>188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44805</v>
      </c>
    </row>
    <row r="28" spans="1:10">
      <c r="A28" s="36">
        <v>16</v>
      </c>
      <c r="B28" s="34" t="s">
        <v>97</v>
      </c>
      <c r="D28" s="108">
        <v>1170294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189</v>
      </c>
    </row>
    <row r="33" spans="2:2">
      <c r="B33" s="44" t="s">
        <v>190</v>
      </c>
    </row>
    <row r="34" spans="2:2">
      <c r="B34" s="44" t="s">
        <v>191</v>
      </c>
    </row>
    <row r="35" spans="2:2">
      <c r="B35" s="44" t="s">
        <v>192</v>
      </c>
    </row>
    <row r="36" spans="2:2">
      <c r="B36" s="44" t="s">
        <v>193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'G9BDC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'G9BDC Input'!F6</f>
        <v>SFS: SF MM New Harrisburg Feed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'G9BDC Input'!B13</f>
        <v>44180</v>
      </c>
      <c r="D15" s="55"/>
      <c r="E15" s="56">
        <f>'G9BDC Input'!D13*'G9BDC Input'!$D$7*'G9BDC Input'!$H$7</f>
        <v>0</v>
      </c>
      <c r="F15" s="57"/>
      <c r="G15" s="56">
        <f>'G9BDC Input'!D27*'G9BDC Input'!D6*'G9BDC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'G9BDC Input'!B14</f>
        <v>44211</v>
      </c>
      <c r="D16" s="55"/>
      <c r="E16" s="58">
        <f>'G9BDC Input'!D14*'G9BDC Input'!$D$7*'G9BDC Input'!$H$7</f>
        <v>0</v>
      </c>
      <c r="F16" s="57"/>
      <c r="G16" s="58">
        <f>'G9BDC Input'!D28*'G9BDC Input'!D7*'G9BDC Input'!H7</f>
        <v>1170294</v>
      </c>
      <c r="H16" s="57"/>
      <c r="I16" s="58">
        <f t="shared" si="0"/>
        <v>1170294</v>
      </c>
    </row>
    <row r="17" spans="1:10">
      <c r="A17" s="48">
        <f t="shared" si="1"/>
        <v>3</v>
      </c>
      <c r="C17" s="55">
        <f>'G9BDC Input'!B15</f>
        <v>44241</v>
      </c>
      <c r="D17" s="55"/>
      <c r="E17" s="58">
        <f>'G9BDC Input'!D15*'G9BDC Input'!$D$7*'G9BDC Input'!$H$7</f>
        <v>0</v>
      </c>
      <c r="F17" s="57"/>
      <c r="G17" s="59">
        <f t="shared" ref="G17:G27" si="2">$G$16</f>
        <v>1170294</v>
      </c>
      <c r="H17" s="57"/>
      <c r="I17" s="59">
        <f t="shared" si="0"/>
        <v>1170294</v>
      </c>
      <c r="J17" s="57"/>
    </row>
    <row r="18" spans="1:10">
      <c r="A18" s="48">
        <f t="shared" si="1"/>
        <v>4</v>
      </c>
      <c r="C18" s="55">
        <f>'G9BDC Input'!B16</f>
        <v>44271</v>
      </c>
      <c r="D18" s="55"/>
      <c r="E18" s="58">
        <f>'G9BDC Input'!D16*'G9BDC Input'!$D$7*'G9BDC Input'!$H$7</f>
        <v>0</v>
      </c>
      <c r="F18" s="57"/>
      <c r="G18" s="59">
        <f t="shared" si="2"/>
        <v>1170294</v>
      </c>
      <c r="H18" s="57"/>
      <c r="I18" s="59">
        <f t="shared" si="0"/>
        <v>1170294</v>
      </c>
      <c r="J18" s="57"/>
    </row>
    <row r="19" spans="1:10">
      <c r="A19" s="48">
        <f t="shared" si="1"/>
        <v>5</v>
      </c>
      <c r="C19" s="55">
        <f>'G9BDC Input'!B17</f>
        <v>44301</v>
      </c>
      <c r="D19" s="55"/>
      <c r="E19" s="58">
        <f>'G9BDC Input'!D17*'G9BDC Input'!$D$7*'G9BDC Input'!$H$7</f>
        <v>0</v>
      </c>
      <c r="F19" s="57"/>
      <c r="G19" s="59">
        <f t="shared" si="2"/>
        <v>1170294</v>
      </c>
      <c r="H19" s="57"/>
      <c r="I19" s="59">
        <f t="shared" si="0"/>
        <v>1170294</v>
      </c>
      <c r="J19" s="57"/>
    </row>
    <row r="20" spans="1:10">
      <c r="A20" s="48">
        <f t="shared" si="1"/>
        <v>6</v>
      </c>
      <c r="C20" s="55">
        <f>'G9BDC Input'!B18</f>
        <v>44331</v>
      </c>
      <c r="D20" s="55"/>
      <c r="E20" s="58">
        <f>'G9BDC Input'!D18*'G9BDC Input'!$D$7*'G9BDC Input'!$H$7</f>
        <v>0</v>
      </c>
      <c r="F20" s="57"/>
      <c r="G20" s="59">
        <f t="shared" si="2"/>
        <v>1170294</v>
      </c>
      <c r="H20" s="57"/>
      <c r="I20" s="59">
        <f t="shared" si="0"/>
        <v>1170294</v>
      </c>
      <c r="J20" s="57"/>
    </row>
    <row r="21" spans="1:10">
      <c r="A21" s="48">
        <f t="shared" si="1"/>
        <v>7</v>
      </c>
      <c r="C21" s="55">
        <f>'G9BDC Input'!B19</f>
        <v>44361</v>
      </c>
      <c r="D21" s="55"/>
      <c r="E21" s="58">
        <f>'G9BDC Input'!D19*'G9BDC Input'!$D$7*'G9BDC Input'!$H$7</f>
        <v>0</v>
      </c>
      <c r="F21" s="57"/>
      <c r="G21" s="59">
        <f t="shared" si="2"/>
        <v>1170294</v>
      </c>
      <c r="H21" s="57"/>
      <c r="I21" s="59">
        <f t="shared" si="0"/>
        <v>1170294</v>
      </c>
      <c r="J21" s="57"/>
    </row>
    <row r="22" spans="1:10">
      <c r="A22" s="48">
        <f t="shared" si="1"/>
        <v>8</v>
      </c>
      <c r="C22" s="55">
        <f>'G9BDC Input'!B20</f>
        <v>44391</v>
      </c>
      <c r="D22" s="55"/>
      <c r="E22" s="58">
        <f>'G9BDC Input'!D20*'G9BDC Input'!$D$7*'G9BDC Input'!$H$7</f>
        <v>0</v>
      </c>
      <c r="F22" s="57"/>
      <c r="G22" s="59">
        <f t="shared" si="2"/>
        <v>1170294</v>
      </c>
      <c r="H22" s="57"/>
      <c r="I22" s="59">
        <f t="shared" si="0"/>
        <v>1170294</v>
      </c>
      <c r="J22" s="57"/>
    </row>
    <row r="23" spans="1:10">
      <c r="A23" s="48">
        <f t="shared" si="1"/>
        <v>9</v>
      </c>
      <c r="C23" s="55">
        <f>'G9BDC Input'!B21</f>
        <v>44421</v>
      </c>
      <c r="D23" s="55"/>
      <c r="E23" s="58">
        <f>'G9BDC Input'!D21*'G9BDC Input'!$D$7*'G9BDC Input'!$H$7</f>
        <v>0</v>
      </c>
      <c r="F23" s="57"/>
      <c r="G23" s="59">
        <f t="shared" si="2"/>
        <v>1170294</v>
      </c>
      <c r="H23" s="57"/>
      <c r="I23" s="59">
        <f t="shared" si="0"/>
        <v>1170294</v>
      </c>
      <c r="J23" s="57"/>
    </row>
    <row r="24" spans="1:10">
      <c r="A24" s="48">
        <f t="shared" si="1"/>
        <v>10</v>
      </c>
      <c r="C24" s="55">
        <f>'G9BDC Input'!B22</f>
        <v>44451</v>
      </c>
      <c r="D24" s="55"/>
      <c r="E24" s="58">
        <f>'G9BDC Input'!D22*'G9BDC Input'!$D$7*'G9BDC Input'!$H$7</f>
        <v>0</v>
      </c>
      <c r="F24" s="57"/>
      <c r="G24" s="59">
        <f t="shared" si="2"/>
        <v>1170294</v>
      </c>
      <c r="H24" s="57"/>
      <c r="I24" s="59">
        <f t="shared" si="0"/>
        <v>1170294</v>
      </c>
      <c r="J24" s="57"/>
    </row>
    <row r="25" spans="1:10">
      <c r="A25" s="48">
        <f t="shared" si="1"/>
        <v>11</v>
      </c>
      <c r="C25" s="55">
        <f>'G9BDC Input'!B23</f>
        <v>44481</v>
      </c>
      <c r="D25" s="55"/>
      <c r="E25" s="58">
        <f>'G9BDC Input'!D23*'G9BDC Input'!$D$7*'G9BDC Input'!$H$7</f>
        <v>0</v>
      </c>
      <c r="F25" s="57"/>
      <c r="G25" s="59">
        <f t="shared" si="2"/>
        <v>1170294</v>
      </c>
      <c r="H25" s="57"/>
      <c r="I25" s="59">
        <f t="shared" si="0"/>
        <v>1170294</v>
      </c>
      <c r="J25" s="57"/>
    </row>
    <row r="26" spans="1:10">
      <c r="A26" s="48">
        <f t="shared" si="1"/>
        <v>12</v>
      </c>
      <c r="C26" s="55">
        <f>'G9BDC Input'!B24</f>
        <v>44511</v>
      </c>
      <c r="D26" s="55"/>
      <c r="E26" s="58">
        <f>'G9BDC Input'!D24*'G9BDC Input'!$D$7*'G9BDC Input'!$H$7</f>
        <v>0</v>
      </c>
      <c r="F26" s="57"/>
      <c r="G26" s="59">
        <f t="shared" si="2"/>
        <v>1170294</v>
      </c>
      <c r="H26" s="57"/>
      <c r="I26" s="59">
        <f t="shared" si="0"/>
        <v>1170294</v>
      </c>
      <c r="J26" s="57"/>
    </row>
    <row r="27" spans="1:10">
      <c r="A27" s="48">
        <f t="shared" si="1"/>
        <v>13</v>
      </c>
      <c r="C27" s="55">
        <f>'G9BDC Input'!B25</f>
        <v>44541</v>
      </c>
      <c r="D27" s="55"/>
      <c r="E27" s="60">
        <f>'G9BDC Input'!D25*'G9BDC Input'!$D$7*'G9BDC Input'!$H$7</f>
        <v>0</v>
      </c>
      <c r="F27" s="57"/>
      <c r="G27" s="61">
        <f t="shared" si="2"/>
        <v>1170294</v>
      </c>
      <c r="H27" s="57"/>
      <c r="I27" s="61">
        <f t="shared" si="0"/>
        <v>1170294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14043528</v>
      </c>
      <c r="H28" s="64"/>
      <c r="I28" s="63">
        <f>SUM(I16:I27)</f>
        <v>14043528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1170294</v>
      </c>
      <c r="H30" s="64"/>
      <c r="I30" s="66">
        <f>ROUND(+I28/12,2)</f>
        <v>1170294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1170294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1.75" customHeight="1">
      <c r="A3" s="119" t="str">
        <f>'G9BDC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'G9BDC Input'!F6</f>
        <v>SFS: SF MM New Harrisburg Feed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'G9BDC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"&amp;'G9BDC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'G9BDC TotalWO'!C15</f>
        <v>44180</v>
      </c>
      <c r="D15" s="55"/>
      <c r="E15" s="56">
        <f>'G9BDC TotalWO'!E15*'G9BDC Input'!$H$13</f>
        <v>0</v>
      </c>
      <c r="F15" s="68"/>
      <c r="G15" s="56">
        <f>'G9BDC TotalWO'!G15*'G9BDC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'G9BDC TotalWO'!C16</f>
        <v>44211</v>
      </c>
      <c r="D16" s="55"/>
      <c r="E16" s="58">
        <f>'G9BDC TotalWO'!E16*'G9BDC Input'!$H$13</f>
        <v>0</v>
      </c>
      <c r="F16" s="68"/>
      <c r="G16" s="58">
        <f>'G9BDC TotalWO'!G16*'G9BDC Input'!$H$13</f>
        <v>1170294</v>
      </c>
      <c r="H16" s="59"/>
      <c r="I16" s="58">
        <f t="shared" si="0"/>
        <v>1170294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'G9BDC TotalWO'!E17*'G9BDC Input'!$H$13</f>
        <v>0</v>
      </c>
      <c r="F17" s="68"/>
      <c r="G17" s="68">
        <f>'G9BDC TotalWO'!G17*'G9BDC Input'!$H$13</f>
        <v>1170294</v>
      </c>
      <c r="H17" s="59"/>
      <c r="I17" s="59">
        <f t="shared" si="0"/>
        <v>1170294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'G9BDC TotalWO'!E18*'G9BDC Input'!$H$13</f>
        <v>0</v>
      </c>
      <c r="F18" s="68"/>
      <c r="G18" s="68">
        <f>'G9BDC TotalWO'!G18*'G9BDC Input'!$H$13</f>
        <v>1170294</v>
      </c>
      <c r="H18" s="59"/>
      <c r="I18" s="59">
        <f t="shared" si="0"/>
        <v>1170294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'G9BDC TotalWO'!E19*'G9BDC Input'!$H$13</f>
        <v>0</v>
      </c>
      <c r="F19" s="68"/>
      <c r="G19" s="68">
        <f>'G9BDC TotalWO'!G19*'G9BDC Input'!$H$13</f>
        <v>1170294</v>
      </c>
      <c r="H19" s="59"/>
      <c r="I19" s="59">
        <f t="shared" si="0"/>
        <v>1170294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'G9BDC TotalWO'!E20*'G9BDC Input'!$H$13</f>
        <v>0</v>
      </c>
      <c r="F20" s="68"/>
      <c r="G20" s="68">
        <f>'G9BDC TotalWO'!G20*'G9BDC Input'!$H$13</f>
        <v>1170294</v>
      </c>
      <c r="H20" s="59"/>
      <c r="I20" s="59">
        <f t="shared" si="0"/>
        <v>1170294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'G9BDC TotalWO'!E21*'G9BDC Input'!$H$13</f>
        <v>0</v>
      </c>
      <c r="F21" s="68"/>
      <c r="G21" s="68">
        <f>'G9BDC TotalWO'!G21*'G9BDC Input'!$H$13</f>
        <v>1170294</v>
      </c>
      <c r="H21" s="59"/>
      <c r="I21" s="59">
        <f t="shared" si="0"/>
        <v>1170294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'G9BDC TotalWO'!E22*'G9BDC Input'!$H$13</f>
        <v>0</v>
      </c>
      <c r="F22" s="68"/>
      <c r="G22" s="68">
        <f>'G9BDC TotalWO'!G22*'G9BDC Input'!$H$13</f>
        <v>1170294</v>
      </c>
      <c r="H22" s="59"/>
      <c r="I22" s="59">
        <f t="shared" si="0"/>
        <v>1170294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'G9BDC TotalWO'!E23*'G9BDC Input'!$H$13</f>
        <v>0</v>
      </c>
      <c r="F23" s="68"/>
      <c r="G23" s="68">
        <f>'G9BDC TotalWO'!G23*'G9BDC Input'!$H$13</f>
        <v>1170294</v>
      </c>
      <c r="H23" s="59"/>
      <c r="I23" s="59">
        <f t="shared" si="0"/>
        <v>1170294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'G9BDC TotalWO'!E24*'G9BDC Input'!$H$13</f>
        <v>0</v>
      </c>
      <c r="F24" s="68"/>
      <c r="G24" s="68">
        <f>'G9BDC TotalWO'!G24*'G9BDC Input'!$H$13</f>
        <v>1170294</v>
      </c>
      <c r="H24" s="59"/>
      <c r="I24" s="59">
        <f t="shared" si="0"/>
        <v>1170294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'G9BDC TotalWO'!E25*'G9BDC Input'!$H$13</f>
        <v>0</v>
      </c>
      <c r="F25" s="68"/>
      <c r="G25" s="68">
        <f>'G9BDC TotalWO'!G25*'G9BDC Input'!$H$13</f>
        <v>1170294</v>
      </c>
      <c r="H25" s="59"/>
      <c r="I25" s="59">
        <f t="shared" si="0"/>
        <v>1170294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'G9BDC TotalWO'!E26*'G9BDC Input'!$H$13</f>
        <v>0</v>
      </c>
      <c r="F26" s="68"/>
      <c r="G26" s="68">
        <f>'G9BDC TotalWO'!G26*'G9BDC Input'!$H$13</f>
        <v>1170294</v>
      </c>
      <c r="H26" s="59"/>
      <c r="I26" s="59">
        <f t="shared" si="0"/>
        <v>1170294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'G9BDC TotalWO'!E27*'G9BDC Input'!$H$13</f>
        <v>0</v>
      </c>
      <c r="F27" s="68"/>
      <c r="G27" s="71">
        <f>'G9BDC TotalWO'!G27*'G9BDC Input'!$H$13</f>
        <v>1170294</v>
      </c>
      <c r="H27" s="59"/>
      <c r="I27" s="61">
        <f t="shared" si="0"/>
        <v>1170294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14043528</v>
      </c>
      <c r="H28" s="64"/>
      <c r="I28" s="63">
        <f>SUM(I16:I27)</f>
        <v>14043528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1170294</v>
      </c>
      <c r="H30" s="64"/>
      <c r="I30" s="66">
        <f>ROUND(+I28/12,2)</f>
        <v>1170294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1170294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194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3.2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SF MM New Harrisburg Feed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2151.2800000000002</v>
      </c>
      <c r="H53" s="64"/>
      <c r="I53" s="63">
        <f t="shared" ref="I53:I64" si="4">G53-E53</f>
        <v>2151.2800000000002</v>
      </c>
      <c r="K53" s="58"/>
      <c r="M53" s="63">
        <f>+ROUND(I53/I$67*M$67,2)</f>
        <v>316.24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2151.2800000000002</v>
      </c>
      <c r="H54" s="57"/>
      <c r="I54" s="59">
        <f t="shared" si="4"/>
        <v>2151.2800000000002</v>
      </c>
      <c r="M54" s="59">
        <f t="shared" ref="M54:M64" si="8">+ROUND(I54/I$67*M$67,2)</f>
        <v>316.24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2151.2800000000002</v>
      </c>
      <c r="H55" s="57"/>
      <c r="I55" s="59">
        <f t="shared" si="4"/>
        <v>2151.2800000000002</v>
      </c>
      <c r="M55" s="59">
        <f t="shared" si="8"/>
        <v>316.24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2151.2800000000002</v>
      </c>
      <c r="H56" s="57"/>
      <c r="I56" s="59">
        <f t="shared" si="4"/>
        <v>2151.2800000000002</v>
      </c>
      <c r="M56" s="59">
        <f t="shared" si="8"/>
        <v>316.24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2151.2800000000002</v>
      </c>
      <c r="H57" s="57"/>
      <c r="I57" s="59">
        <f t="shared" si="4"/>
        <v>2151.2800000000002</v>
      </c>
      <c r="M57" s="59">
        <f t="shared" si="8"/>
        <v>316.24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2151.2800000000002</v>
      </c>
      <c r="H58" s="57"/>
      <c r="I58" s="59">
        <f t="shared" si="4"/>
        <v>2151.2800000000002</v>
      </c>
      <c r="M58" s="59">
        <f t="shared" si="8"/>
        <v>316.24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2151.2800000000002</v>
      </c>
      <c r="H59" s="57"/>
      <c r="I59" s="59">
        <f t="shared" si="4"/>
        <v>2151.2800000000002</v>
      </c>
      <c r="M59" s="59">
        <f t="shared" si="8"/>
        <v>316.24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2151.2800000000002</v>
      </c>
      <c r="H60" s="57"/>
      <c r="I60" s="59">
        <f t="shared" si="4"/>
        <v>2151.2800000000002</v>
      </c>
      <c r="M60" s="59">
        <f t="shared" si="8"/>
        <v>316.24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2151.2800000000002</v>
      </c>
      <c r="H61" s="57"/>
      <c r="I61" s="59">
        <f t="shared" si="4"/>
        <v>2151.2800000000002</v>
      </c>
      <c r="M61" s="59">
        <f t="shared" si="8"/>
        <v>316.24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2151.2800000000002</v>
      </c>
      <c r="H62" s="57"/>
      <c r="I62" s="59">
        <f t="shared" si="4"/>
        <v>2151.2800000000002</v>
      </c>
      <c r="M62" s="59">
        <f>+ROUND(I62/I$67*M$67,2)+0.01</f>
        <v>316.25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2151.2800000000002</v>
      </c>
      <c r="H63" s="57"/>
      <c r="I63" s="59">
        <f t="shared" si="4"/>
        <v>2151.2800000000002</v>
      </c>
      <c r="M63" s="59">
        <f>+ROUND(I63/I$67*M$67,2)+0.01</f>
        <v>316.25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2151.2800000000002</v>
      </c>
      <c r="H64" s="57"/>
      <c r="I64" s="61">
        <f t="shared" si="4"/>
        <v>2151.2800000000002</v>
      </c>
      <c r="M64" s="61">
        <f t="shared" si="8"/>
        <v>316.24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25815.359999999997</v>
      </c>
      <c r="H65" s="64"/>
      <c r="I65" s="63">
        <f>SUM(I53:I64)</f>
        <v>25815.359999999997</v>
      </c>
      <c r="M65" s="63">
        <f>SUM(M53:M64)</f>
        <v>3794.8999999999996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25815.359999999997</v>
      </c>
      <c r="K67" s="66">
        <f>ROUND(G16*K73,2)</f>
        <v>43886.03</v>
      </c>
      <c r="M67" s="66">
        <f>ROUND(+(K67-I67)*M73,2)</f>
        <v>3794.84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195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'G9BDC Input'!J13</f>
        <v>2.2058823529411766E-2</v>
      </c>
      <c r="F73" s="76"/>
      <c r="G73" s="76">
        <f>E73/12</f>
        <v>1.8382352941176473E-3</v>
      </c>
      <c r="K73" s="86">
        <f>+'G9BDC Input'!L13</f>
        <v>3.7499999999999999E-2</v>
      </c>
      <c r="M73" s="87">
        <f>+'G9BDC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SF MM New Harrisburg Feed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2151.2800000000002</v>
      </c>
      <c r="H93" s="57"/>
      <c r="I93" s="58">
        <f t="shared" si="9"/>
        <v>2151.2800000000002</v>
      </c>
      <c r="M93" s="58">
        <f>+M53</f>
        <v>316.24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4302.5600000000004</v>
      </c>
      <c r="H94" s="57"/>
      <c r="I94" s="59">
        <f t="shared" si="9"/>
        <v>4302.5600000000004</v>
      </c>
      <c r="M94" s="59">
        <f>+M93+M54</f>
        <v>632.48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6453.84</v>
      </c>
      <c r="H95" s="57"/>
      <c r="I95" s="59">
        <f t="shared" si="9"/>
        <v>6453.84</v>
      </c>
      <c r="M95" s="59">
        <f t="shared" ref="M95:M104" si="14">+M94+M55</f>
        <v>948.72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8605.1200000000008</v>
      </c>
      <c r="H96" s="57"/>
      <c r="I96" s="59">
        <f t="shared" si="9"/>
        <v>8605.1200000000008</v>
      </c>
      <c r="M96" s="59">
        <f t="shared" si="14"/>
        <v>1264.96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10756.400000000001</v>
      </c>
      <c r="H97" s="57"/>
      <c r="I97" s="59">
        <f t="shared" si="9"/>
        <v>10756.400000000001</v>
      </c>
      <c r="M97" s="59">
        <f t="shared" si="14"/>
        <v>1581.2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12907.680000000002</v>
      </c>
      <c r="H98" s="57"/>
      <c r="I98" s="59">
        <f t="shared" si="9"/>
        <v>12907.680000000002</v>
      </c>
      <c r="M98" s="59">
        <f t="shared" si="14"/>
        <v>1897.44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15058.960000000003</v>
      </c>
      <c r="H99" s="57"/>
      <c r="I99" s="59">
        <f t="shared" si="9"/>
        <v>15058.960000000003</v>
      </c>
      <c r="M99" s="59">
        <f t="shared" si="14"/>
        <v>2213.6800000000003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17210.240000000002</v>
      </c>
      <c r="H100" s="57"/>
      <c r="I100" s="59">
        <f t="shared" si="9"/>
        <v>17210.240000000002</v>
      </c>
      <c r="M100" s="59">
        <f t="shared" si="14"/>
        <v>2529.92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19361.52</v>
      </c>
      <c r="H101" s="57"/>
      <c r="I101" s="59">
        <f t="shared" si="9"/>
        <v>19361.52</v>
      </c>
      <c r="M101" s="59">
        <f t="shared" si="14"/>
        <v>2846.16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21512.799999999999</v>
      </c>
      <c r="H102" s="57"/>
      <c r="I102" s="59">
        <f t="shared" si="9"/>
        <v>21512.799999999999</v>
      </c>
      <c r="M102" s="59">
        <f t="shared" si="14"/>
        <v>3162.41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23664.079999999998</v>
      </c>
      <c r="H103" s="57"/>
      <c r="I103" s="59">
        <f t="shared" si="9"/>
        <v>23664.079999999998</v>
      </c>
      <c r="M103" s="59">
        <f t="shared" si="14"/>
        <v>3478.66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25815.359999999997</v>
      </c>
      <c r="H104" s="57"/>
      <c r="I104" s="61">
        <f t="shared" si="9"/>
        <v>25815.359999999997</v>
      </c>
      <c r="M104" s="61">
        <f t="shared" si="14"/>
        <v>3794.8999999999996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167799.84</v>
      </c>
      <c r="H105" s="64"/>
      <c r="I105" s="63">
        <f>SUM(I93:I104)</f>
        <v>167799.84</v>
      </c>
      <c r="M105" s="63">
        <f>SUM(M93:M104)</f>
        <v>24666.769999999997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13983.32</v>
      </c>
      <c r="H107" s="64"/>
      <c r="I107" s="66">
        <f>ROUND(+I105/12,2)</f>
        <v>13983.32</v>
      </c>
      <c r="M107" s="66">
        <f>ROUND(+M105/12,2)</f>
        <v>2055.56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13983.32</v>
      </c>
      <c r="M110" s="78">
        <f>+M107</f>
        <v>2055.56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196</v>
      </c>
      <c r="M112" s="62" t="s">
        <v>197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74"/>
  <sheetViews>
    <sheetView view="pageLayout" topLeftCell="A4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6.25" customHeight="1">
      <c r="A3" s="121" t="str">
        <f>'G9BDC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'G9BDC Input'!F6</f>
        <v>SFS: SF MM New Harrisburg Feed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26.25" customHeight="1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SFS: SF MM New Harrisburg Feed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74:L74"/>
    <mergeCell ref="A1:L1"/>
    <mergeCell ref="A2:L2"/>
    <mergeCell ref="A3:L3"/>
    <mergeCell ref="A4:L4"/>
    <mergeCell ref="A5:L5"/>
    <mergeCell ref="A6:L6"/>
    <mergeCell ref="A69:L69"/>
    <mergeCell ref="A70:L70"/>
    <mergeCell ref="A71:L71"/>
    <mergeCell ref="A72:L72"/>
    <mergeCell ref="A73:L73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325C-D785-4B1C-A1A0-687F39B17475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5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198</v>
      </c>
      <c r="E6" s="34"/>
      <c r="F6" s="127" t="s">
        <v>199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44835</v>
      </c>
    </row>
    <row r="28" spans="1:10">
      <c r="A28" s="36">
        <v>16</v>
      </c>
      <c r="B28" s="34" t="s">
        <v>97</v>
      </c>
      <c r="D28" s="108">
        <v>125383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200</v>
      </c>
    </row>
    <row r="33" spans="2:2">
      <c r="B33" s="44" t="s">
        <v>201</v>
      </c>
    </row>
    <row r="34" spans="2:2">
      <c r="B34" s="44" t="s">
        <v>202</v>
      </c>
    </row>
    <row r="35" spans="2:2">
      <c r="B35" s="44" t="s">
        <v>203</v>
      </c>
    </row>
    <row r="36" spans="2:2">
      <c r="B36" s="44" t="s">
        <v>204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86A9-7BA4-45CE-BBE9-033C42AC40BF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'G9AM4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'G9AM4 Input'!F6</f>
        <v>SFS: SD Hwy42 SD100 to 6 Mile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'G9AM4 Input'!B13</f>
        <v>44180</v>
      </c>
      <c r="D15" s="55"/>
      <c r="E15" s="56">
        <f>'G9AM4 Input'!D13*'G9AM4 Input'!$D$7*'G9AM4 Input'!$H$7</f>
        <v>0</v>
      </c>
      <c r="F15" s="57"/>
      <c r="G15" s="56">
        <f>'G9AM4 Input'!D27*'G9AM4 Input'!D6*'G9AM4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'G9AM4 Input'!B14</f>
        <v>44211</v>
      </c>
      <c r="D16" s="55"/>
      <c r="E16" s="58">
        <f>'G9AM4 Input'!D14*'G9AM4 Input'!$D$7*'G9AM4 Input'!$H$7</f>
        <v>0</v>
      </c>
      <c r="F16" s="57"/>
      <c r="G16" s="58">
        <f>'G9AM4 Input'!D28*'G9AM4 Input'!D7*'G9AM4 Input'!H7</f>
        <v>125383</v>
      </c>
      <c r="H16" s="57"/>
      <c r="I16" s="58">
        <f t="shared" si="0"/>
        <v>125383</v>
      </c>
    </row>
    <row r="17" spans="1:10">
      <c r="A17" s="48">
        <f t="shared" si="1"/>
        <v>3</v>
      </c>
      <c r="C17" s="55">
        <f>'G9AM4 Input'!B15</f>
        <v>44241</v>
      </c>
      <c r="D17" s="55"/>
      <c r="E17" s="58">
        <f>'G9AM4 Input'!D15*'G9AM4 Input'!$D$7*'G9AM4 Input'!$H$7</f>
        <v>0</v>
      </c>
      <c r="F17" s="57"/>
      <c r="G17" s="59">
        <f t="shared" ref="G17:G27" si="2">$G$16</f>
        <v>125383</v>
      </c>
      <c r="H17" s="57"/>
      <c r="I17" s="59">
        <f t="shared" si="0"/>
        <v>125383</v>
      </c>
      <c r="J17" s="57"/>
    </row>
    <row r="18" spans="1:10">
      <c r="A18" s="48">
        <f t="shared" si="1"/>
        <v>4</v>
      </c>
      <c r="C18" s="55">
        <f>'G9AM4 Input'!B16</f>
        <v>44271</v>
      </c>
      <c r="D18" s="55"/>
      <c r="E18" s="58">
        <f>'G9AM4 Input'!D16*'G9AM4 Input'!$D$7*'G9AM4 Input'!$H$7</f>
        <v>0</v>
      </c>
      <c r="F18" s="57"/>
      <c r="G18" s="59">
        <f t="shared" si="2"/>
        <v>125383</v>
      </c>
      <c r="H18" s="57"/>
      <c r="I18" s="59">
        <f t="shared" si="0"/>
        <v>125383</v>
      </c>
      <c r="J18" s="57"/>
    </row>
    <row r="19" spans="1:10">
      <c r="A19" s="48">
        <f t="shared" si="1"/>
        <v>5</v>
      </c>
      <c r="C19" s="55">
        <f>'G9AM4 Input'!B17</f>
        <v>44301</v>
      </c>
      <c r="D19" s="55"/>
      <c r="E19" s="58">
        <f>'G9AM4 Input'!D17*'G9AM4 Input'!$D$7*'G9AM4 Input'!$H$7</f>
        <v>0</v>
      </c>
      <c r="F19" s="57"/>
      <c r="G19" s="59">
        <f t="shared" si="2"/>
        <v>125383</v>
      </c>
      <c r="H19" s="57"/>
      <c r="I19" s="59">
        <f t="shared" si="0"/>
        <v>125383</v>
      </c>
      <c r="J19" s="57"/>
    </row>
    <row r="20" spans="1:10">
      <c r="A20" s="48">
        <f t="shared" si="1"/>
        <v>6</v>
      </c>
      <c r="C20" s="55">
        <f>'G9AM4 Input'!B18</f>
        <v>44331</v>
      </c>
      <c r="D20" s="55"/>
      <c r="E20" s="58">
        <f>'G9AM4 Input'!D18*'G9AM4 Input'!$D$7*'G9AM4 Input'!$H$7</f>
        <v>0</v>
      </c>
      <c r="F20" s="57"/>
      <c r="G20" s="59">
        <f t="shared" si="2"/>
        <v>125383</v>
      </c>
      <c r="H20" s="57"/>
      <c r="I20" s="59">
        <f t="shared" si="0"/>
        <v>125383</v>
      </c>
      <c r="J20" s="57"/>
    </row>
    <row r="21" spans="1:10">
      <c r="A21" s="48">
        <f t="shared" si="1"/>
        <v>7</v>
      </c>
      <c r="C21" s="55">
        <f>'G9AM4 Input'!B19</f>
        <v>44361</v>
      </c>
      <c r="D21" s="55"/>
      <c r="E21" s="58">
        <f>'G9AM4 Input'!D19*'G9AM4 Input'!$D$7*'G9AM4 Input'!$H$7</f>
        <v>0</v>
      </c>
      <c r="F21" s="57"/>
      <c r="G21" s="59">
        <f t="shared" si="2"/>
        <v>125383</v>
      </c>
      <c r="H21" s="57"/>
      <c r="I21" s="59">
        <f t="shared" si="0"/>
        <v>125383</v>
      </c>
      <c r="J21" s="57"/>
    </row>
    <row r="22" spans="1:10">
      <c r="A22" s="48">
        <f t="shared" si="1"/>
        <v>8</v>
      </c>
      <c r="C22" s="55">
        <f>'G9AM4 Input'!B20</f>
        <v>44391</v>
      </c>
      <c r="D22" s="55"/>
      <c r="E22" s="58">
        <f>'G9AM4 Input'!D20*'G9AM4 Input'!$D$7*'G9AM4 Input'!$H$7</f>
        <v>0</v>
      </c>
      <c r="F22" s="57"/>
      <c r="G22" s="59">
        <f t="shared" si="2"/>
        <v>125383</v>
      </c>
      <c r="H22" s="57"/>
      <c r="I22" s="59">
        <f t="shared" si="0"/>
        <v>125383</v>
      </c>
      <c r="J22" s="57"/>
    </row>
    <row r="23" spans="1:10">
      <c r="A23" s="48">
        <f t="shared" si="1"/>
        <v>9</v>
      </c>
      <c r="C23" s="55">
        <f>'G9AM4 Input'!B21</f>
        <v>44421</v>
      </c>
      <c r="D23" s="55"/>
      <c r="E23" s="58">
        <f>'G9AM4 Input'!D21*'G9AM4 Input'!$D$7*'G9AM4 Input'!$H$7</f>
        <v>0</v>
      </c>
      <c r="F23" s="57"/>
      <c r="G23" s="59">
        <f t="shared" si="2"/>
        <v>125383</v>
      </c>
      <c r="H23" s="57"/>
      <c r="I23" s="59">
        <f t="shared" si="0"/>
        <v>125383</v>
      </c>
      <c r="J23" s="57"/>
    </row>
    <row r="24" spans="1:10">
      <c r="A24" s="48">
        <f t="shared" si="1"/>
        <v>10</v>
      </c>
      <c r="C24" s="55">
        <f>'G9AM4 Input'!B22</f>
        <v>44451</v>
      </c>
      <c r="D24" s="55"/>
      <c r="E24" s="58">
        <f>'G9AM4 Input'!D22*'G9AM4 Input'!$D$7*'G9AM4 Input'!$H$7</f>
        <v>0</v>
      </c>
      <c r="F24" s="57"/>
      <c r="G24" s="59">
        <f t="shared" si="2"/>
        <v>125383</v>
      </c>
      <c r="H24" s="57"/>
      <c r="I24" s="59">
        <f t="shared" si="0"/>
        <v>125383</v>
      </c>
      <c r="J24" s="57"/>
    </row>
    <row r="25" spans="1:10">
      <c r="A25" s="48">
        <f t="shared" si="1"/>
        <v>11</v>
      </c>
      <c r="C25" s="55">
        <f>'G9AM4 Input'!B23</f>
        <v>44481</v>
      </c>
      <c r="D25" s="55"/>
      <c r="E25" s="58">
        <f>'G9AM4 Input'!D23*'G9AM4 Input'!$D$7*'G9AM4 Input'!$H$7</f>
        <v>0</v>
      </c>
      <c r="F25" s="57"/>
      <c r="G25" s="59">
        <f t="shared" si="2"/>
        <v>125383</v>
      </c>
      <c r="H25" s="57"/>
      <c r="I25" s="59">
        <f t="shared" si="0"/>
        <v>125383</v>
      </c>
      <c r="J25" s="57"/>
    </row>
    <row r="26" spans="1:10">
      <c r="A26" s="48">
        <f t="shared" si="1"/>
        <v>12</v>
      </c>
      <c r="C26" s="55">
        <f>'G9AM4 Input'!B24</f>
        <v>44511</v>
      </c>
      <c r="D26" s="55"/>
      <c r="E26" s="58">
        <f>'G9AM4 Input'!D24*'G9AM4 Input'!$D$7*'G9AM4 Input'!$H$7</f>
        <v>0</v>
      </c>
      <c r="F26" s="57"/>
      <c r="G26" s="59">
        <f t="shared" si="2"/>
        <v>125383</v>
      </c>
      <c r="H26" s="57"/>
      <c r="I26" s="59">
        <f t="shared" si="0"/>
        <v>125383</v>
      </c>
      <c r="J26" s="57"/>
    </row>
    <row r="27" spans="1:10">
      <c r="A27" s="48">
        <f t="shared" si="1"/>
        <v>13</v>
      </c>
      <c r="C27" s="55">
        <f>'G9AM4 Input'!B25</f>
        <v>44541</v>
      </c>
      <c r="D27" s="55"/>
      <c r="E27" s="60">
        <f>'G9AM4 Input'!D25*'G9AM4 Input'!$D$7*'G9AM4 Input'!$H$7</f>
        <v>0</v>
      </c>
      <c r="F27" s="57"/>
      <c r="G27" s="61">
        <f t="shared" si="2"/>
        <v>125383</v>
      </c>
      <c r="H27" s="57"/>
      <c r="I27" s="61">
        <f t="shared" si="0"/>
        <v>125383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1504596</v>
      </c>
      <c r="H28" s="64"/>
      <c r="I28" s="63">
        <f>SUM(I16:I27)</f>
        <v>1504596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125383</v>
      </c>
      <c r="H30" s="64"/>
      <c r="I30" s="66">
        <f>ROUND(+I28/12,2)</f>
        <v>125383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125383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3A82-A8E9-4696-9D45-89DACBD2EBF8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'G9AM4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'G9AM4 Input'!F6</f>
        <v>SFS: SD Hwy42 SD100 to 6 Mile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'G9AM4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"&amp;'G9AM4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'G9AM4 TotalWO'!C15</f>
        <v>44180</v>
      </c>
      <c r="D15" s="55"/>
      <c r="E15" s="56">
        <f>'G9AM4 TotalWO'!E15*'G9AM4 Input'!$H$13</f>
        <v>0</v>
      </c>
      <c r="F15" s="68"/>
      <c r="G15" s="56">
        <f>'G9AM4 TotalWO'!G15*'G9AM4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'G9AM4 TotalWO'!C16</f>
        <v>44211</v>
      </c>
      <c r="D16" s="55"/>
      <c r="E16" s="58">
        <f>'G9AM4 TotalWO'!E16*'G9AM4 Input'!$H$13</f>
        <v>0</v>
      </c>
      <c r="F16" s="68"/>
      <c r="G16" s="58">
        <f>'G9AM4 TotalWO'!G16*'G9AM4 Input'!$H$13</f>
        <v>125383</v>
      </c>
      <c r="H16" s="59"/>
      <c r="I16" s="58">
        <f t="shared" si="0"/>
        <v>125383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'G9AM4 TotalWO'!E17*'G9AM4 Input'!$H$13</f>
        <v>0</v>
      </c>
      <c r="F17" s="68"/>
      <c r="G17" s="68">
        <f>'G9AM4 TotalWO'!G17*'G9AM4 Input'!$H$13</f>
        <v>125383</v>
      </c>
      <c r="H17" s="59"/>
      <c r="I17" s="59">
        <f t="shared" si="0"/>
        <v>125383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'G9AM4 TotalWO'!E18*'G9AM4 Input'!$H$13</f>
        <v>0</v>
      </c>
      <c r="F18" s="68"/>
      <c r="G18" s="68">
        <f>'G9AM4 TotalWO'!G18*'G9AM4 Input'!$H$13</f>
        <v>125383</v>
      </c>
      <c r="H18" s="59"/>
      <c r="I18" s="59">
        <f t="shared" si="0"/>
        <v>125383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'G9AM4 TotalWO'!E19*'G9AM4 Input'!$H$13</f>
        <v>0</v>
      </c>
      <c r="F19" s="68"/>
      <c r="G19" s="68">
        <f>'G9AM4 TotalWO'!G19*'G9AM4 Input'!$H$13</f>
        <v>125383</v>
      </c>
      <c r="H19" s="59"/>
      <c r="I19" s="59">
        <f t="shared" si="0"/>
        <v>125383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'G9AM4 TotalWO'!E20*'G9AM4 Input'!$H$13</f>
        <v>0</v>
      </c>
      <c r="F20" s="68"/>
      <c r="G20" s="68">
        <f>'G9AM4 TotalWO'!G20*'G9AM4 Input'!$H$13</f>
        <v>125383</v>
      </c>
      <c r="H20" s="59"/>
      <c r="I20" s="59">
        <f t="shared" si="0"/>
        <v>125383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'G9AM4 TotalWO'!E21*'G9AM4 Input'!$H$13</f>
        <v>0</v>
      </c>
      <c r="F21" s="68"/>
      <c r="G21" s="68">
        <f>'G9AM4 TotalWO'!G21*'G9AM4 Input'!$H$13</f>
        <v>125383</v>
      </c>
      <c r="H21" s="59"/>
      <c r="I21" s="59">
        <f t="shared" si="0"/>
        <v>125383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'G9AM4 TotalWO'!E22*'G9AM4 Input'!$H$13</f>
        <v>0</v>
      </c>
      <c r="F22" s="68"/>
      <c r="G22" s="68">
        <f>'G9AM4 TotalWO'!G22*'G9AM4 Input'!$H$13</f>
        <v>125383</v>
      </c>
      <c r="H22" s="59"/>
      <c r="I22" s="59">
        <f t="shared" si="0"/>
        <v>125383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'G9AM4 TotalWO'!E23*'G9AM4 Input'!$H$13</f>
        <v>0</v>
      </c>
      <c r="F23" s="68"/>
      <c r="G23" s="68">
        <f>'G9AM4 TotalWO'!G23*'G9AM4 Input'!$H$13</f>
        <v>125383</v>
      </c>
      <c r="H23" s="59"/>
      <c r="I23" s="59">
        <f t="shared" si="0"/>
        <v>125383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'G9AM4 TotalWO'!E24*'G9AM4 Input'!$H$13</f>
        <v>0</v>
      </c>
      <c r="F24" s="68"/>
      <c r="G24" s="68">
        <f>'G9AM4 TotalWO'!G24*'G9AM4 Input'!$H$13</f>
        <v>125383</v>
      </c>
      <c r="H24" s="59"/>
      <c r="I24" s="59">
        <f t="shared" si="0"/>
        <v>125383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'G9AM4 TotalWO'!E25*'G9AM4 Input'!$H$13</f>
        <v>0</v>
      </c>
      <c r="F25" s="68"/>
      <c r="G25" s="68">
        <f>'G9AM4 TotalWO'!G25*'G9AM4 Input'!$H$13</f>
        <v>125383</v>
      </c>
      <c r="H25" s="59"/>
      <c r="I25" s="59">
        <f t="shared" si="0"/>
        <v>125383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'G9AM4 TotalWO'!E26*'G9AM4 Input'!$H$13</f>
        <v>0</v>
      </c>
      <c r="F26" s="68"/>
      <c r="G26" s="68">
        <f>'G9AM4 TotalWO'!G26*'G9AM4 Input'!$H$13</f>
        <v>125383</v>
      </c>
      <c r="H26" s="59"/>
      <c r="I26" s="59">
        <f t="shared" si="0"/>
        <v>125383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'G9AM4 TotalWO'!E27*'G9AM4 Input'!$H$13</f>
        <v>0</v>
      </c>
      <c r="F27" s="68"/>
      <c r="G27" s="71">
        <f>'G9AM4 TotalWO'!G27*'G9AM4 Input'!$H$13</f>
        <v>125383</v>
      </c>
      <c r="H27" s="59"/>
      <c r="I27" s="61">
        <f t="shared" si="0"/>
        <v>125383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1504596</v>
      </c>
      <c r="H28" s="64"/>
      <c r="I28" s="63">
        <f>SUM(I16:I27)</f>
        <v>1504596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125383</v>
      </c>
      <c r="H30" s="64"/>
      <c r="I30" s="66">
        <f>ROUND(+I28/12,2)</f>
        <v>125383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125383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205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>
        <f>A1</f>
        <v>0</v>
      </c>
      <c r="B39" s="45"/>
      <c r="C39" s="46"/>
      <c r="D39" s="46"/>
      <c r="E39" s="46"/>
      <c r="F39" s="46"/>
      <c r="G39" s="46"/>
      <c r="H39" s="46"/>
      <c r="I39" s="46"/>
    </row>
    <row r="40" spans="1:13">
      <c r="A40" s="45">
        <f>A2</f>
        <v>0</v>
      </c>
      <c r="B40" s="45"/>
      <c r="C40" s="46"/>
      <c r="D40" s="46"/>
      <c r="E40" s="46"/>
      <c r="F40" s="46"/>
      <c r="G40" s="46"/>
      <c r="H40" s="46"/>
      <c r="I40" s="46"/>
    </row>
    <row r="41" spans="1:13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>
        <f>A4</f>
        <v>0</v>
      </c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SD Hwy42 SD100 to 6 Mile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230.48</v>
      </c>
      <c r="H53" s="64"/>
      <c r="I53" s="63">
        <f t="shared" ref="I53:I64" si="4">G53-E53</f>
        <v>230.48</v>
      </c>
      <c r="K53" s="58"/>
      <c r="M53" s="63">
        <f>+ROUND(I53/I$67*M$67,2)</f>
        <v>33.880000000000003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230.48</v>
      </c>
      <c r="H54" s="57"/>
      <c r="I54" s="59">
        <f t="shared" si="4"/>
        <v>230.48</v>
      </c>
      <c r="M54" s="59">
        <f t="shared" ref="M54:M64" si="8">+ROUND(I54/I$67*M$67,2)</f>
        <v>33.880000000000003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230.48</v>
      </c>
      <c r="H55" s="57"/>
      <c r="I55" s="59">
        <f t="shared" si="4"/>
        <v>230.48</v>
      </c>
      <c r="M55" s="59">
        <f t="shared" si="8"/>
        <v>33.880000000000003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230.48</v>
      </c>
      <c r="H56" s="57"/>
      <c r="I56" s="59">
        <f t="shared" si="4"/>
        <v>230.48</v>
      </c>
      <c r="M56" s="59">
        <f t="shared" si="8"/>
        <v>33.880000000000003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230.48</v>
      </c>
      <c r="H57" s="57"/>
      <c r="I57" s="59">
        <f t="shared" si="4"/>
        <v>230.48</v>
      </c>
      <c r="M57" s="59">
        <f t="shared" si="8"/>
        <v>33.880000000000003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230.48</v>
      </c>
      <c r="H58" s="57"/>
      <c r="I58" s="59">
        <f t="shared" si="4"/>
        <v>230.48</v>
      </c>
      <c r="M58" s="59">
        <f t="shared" si="8"/>
        <v>33.880000000000003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230.48</v>
      </c>
      <c r="H59" s="57"/>
      <c r="I59" s="59">
        <f t="shared" si="4"/>
        <v>230.48</v>
      </c>
      <c r="M59" s="59">
        <f t="shared" si="8"/>
        <v>33.880000000000003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230.48</v>
      </c>
      <c r="H60" s="57"/>
      <c r="I60" s="59">
        <f t="shared" si="4"/>
        <v>230.48</v>
      </c>
      <c r="M60" s="59">
        <f t="shared" si="8"/>
        <v>33.880000000000003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230.48</v>
      </c>
      <c r="H61" s="57"/>
      <c r="I61" s="59">
        <f t="shared" si="4"/>
        <v>230.48</v>
      </c>
      <c r="M61" s="59">
        <f t="shared" si="8"/>
        <v>33.880000000000003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230.48</v>
      </c>
      <c r="H62" s="57"/>
      <c r="I62" s="59">
        <f t="shared" si="4"/>
        <v>230.48</v>
      </c>
      <c r="M62" s="59">
        <f>+ROUND(I62/I$67*M$67,2)+0.01</f>
        <v>33.89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230.48</v>
      </c>
      <c r="H63" s="57"/>
      <c r="I63" s="59">
        <f t="shared" si="4"/>
        <v>230.48</v>
      </c>
      <c r="M63" s="59">
        <f>+ROUND(I63/I$67*M$67,2)+0.01</f>
        <v>33.89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230.48</v>
      </c>
      <c r="H64" s="57"/>
      <c r="I64" s="61">
        <f t="shared" si="4"/>
        <v>230.48</v>
      </c>
      <c r="M64" s="61">
        <f t="shared" si="8"/>
        <v>33.880000000000003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2765.7599999999998</v>
      </c>
      <c r="H65" s="64"/>
      <c r="I65" s="63">
        <f>SUM(I53:I64)</f>
        <v>2765.7599999999998</v>
      </c>
      <c r="M65" s="63">
        <f>SUM(M53:M64)</f>
        <v>406.58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2765.7599999999998</v>
      </c>
      <c r="K67" s="66">
        <f>ROUND(G16*K73,2)</f>
        <v>4701.8599999999997</v>
      </c>
      <c r="M67" s="66">
        <f>ROUND(+(K67-I67)*M73,2)</f>
        <v>406.58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206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'G9AM4 Input'!J13</f>
        <v>2.2058823529411766E-2</v>
      </c>
      <c r="F73" s="76"/>
      <c r="G73" s="76">
        <f>E73/12</f>
        <v>1.8382352941176473E-3</v>
      </c>
      <c r="K73" s="86">
        <f>+'G9AM4 Input'!L13</f>
        <v>3.7499999999999999E-2</v>
      </c>
      <c r="M73" s="87">
        <f>+'G9AM4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>
        <f>A1</f>
        <v>0</v>
      </c>
      <c r="B78" s="45"/>
      <c r="C78" s="46"/>
      <c r="D78" s="46"/>
      <c r="E78" s="46"/>
      <c r="F78" s="46"/>
      <c r="G78" s="46"/>
      <c r="H78" s="46"/>
      <c r="I78" s="46"/>
    </row>
    <row r="79" spans="1:13">
      <c r="A79" s="45">
        <f>A2</f>
        <v>0</v>
      </c>
      <c r="B79" s="45"/>
      <c r="C79" s="46"/>
      <c r="D79" s="46"/>
      <c r="E79" s="46"/>
      <c r="F79" s="46"/>
      <c r="G79" s="46"/>
      <c r="H79" s="46"/>
      <c r="I79" s="46"/>
    </row>
    <row r="80" spans="1:13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>
        <f>A4</f>
        <v>0</v>
      </c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SD Hwy42 SD100 to 6 Mile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230.48</v>
      </c>
      <c r="H93" s="57"/>
      <c r="I93" s="58">
        <f t="shared" si="9"/>
        <v>230.48</v>
      </c>
      <c r="M93" s="58">
        <f>+M53</f>
        <v>33.880000000000003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460.96</v>
      </c>
      <c r="H94" s="57"/>
      <c r="I94" s="59">
        <f t="shared" si="9"/>
        <v>460.96</v>
      </c>
      <c r="M94" s="59">
        <f>+M93+M54</f>
        <v>67.760000000000005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691.43999999999994</v>
      </c>
      <c r="H95" s="57"/>
      <c r="I95" s="59">
        <f t="shared" si="9"/>
        <v>691.43999999999994</v>
      </c>
      <c r="M95" s="59">
        <f t="shared" ref="M95:M104" si="14">+M94+M55</f>
        <v>101.64000000000001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921.92</v>
      </c>
      <c r="H96" s="57"/>
      <c r="I96" s="59">
        <f t="shared" si="9"/>
        <v>921.92</v>
      </c>
      <c r="M96" s="59">
        <f t="shared" si="14"/>
        <v>135.52000000000001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1152.3999999999999</v>
      </c>
      <c r="H97" s="57"/>
      <c r="I97" s="59">
        <f t="shared" si="9"/>
        <v>1152.3999999999999</v>
      </c>
      <c r="M97" s="59">
        <f t="shared" si="14"/>
        <v>169.4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1382.8799999999999</v>
      </c>
      <c r="H98" s="57"/>
      <c r="I98" s="59">
        <f t="shared" si="9"/>
        <v>1382.8799999999999</v>
      </c>
      <c r="M98" s="59">
        <f t="shared" si="14"/>
        <v>203.28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1613.36</v>
      </c>
      <c r="H99" s="57"/>
      <c r="I99" s="59">
        <f t="shared" si="9"/>
        <v>1613.36</v>
      </c>
      <c r="M99" s="59">
        <f t="shared" si="14"/>
        <v>237.16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1843.84</v>
      </c>
      <c r="H100" s="57"/>
      <c r="I100" s="59">
        <f t="shared" si="9"/>
        <v>1843.84</v>
      </c>
      <c r="M100" s="59">
        <f t="shared" si="14"/>
        <v>271.04000000000002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2074.3199999999997</v>
      </c>
      <c r="H101" s="57"/>
      <c r="I101" s="59">
        <f t="shared" si="9"/>
        <v>2074.3199999999997</v>
      </c>
      <c r="M101" s="59">
        <f t="shared" si="14"/>
        <v>304.92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2304.7999999999997</v>
      </c>
      <c r="H102" s="57"/>
      <c r="I102" s="59">
        <f t="shared" si="9"/>
        <v>2304.7999999999997</v>
      </c>
      <c r="M102" s="59">
        <f t="shared" si="14"/>
        <v>338.81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2535.2799999999997</v>
      </c>
      <c r="H103" s="57"/>
      <c r="I103" s="59">
        <f t="shared" si="9"/>
        <v>2535.2799999999997</v>
      </c>
      <c r="M103" s="59">
        <f t="shared" si="14"/>
        <v>372.7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2765.7599999999998</v>
      </c>
      <c r="H104" s="57"/>
      <c r="I104" s="61">
        <f t="shared" si="9"/>
        <v>2765.7599999999998</v>
      </c>
      <c r="M104" s="61">
        <f t="shared" si="14"/>
        <v>406.58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17977.439999999995</v>
      </c>
      <c r="H105" s="64"/>
      <c r="I105" s="63">
        <f>SUM(I93:I104)</f>
        <v>17977.439999999995</v>
      </c>
      <c r="M105" s="63">
        <f>SUM(M93:M104)</f>
        <v>2642.69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1498.12</v>
      </c>
      <c r="H107" s="64"/>
      <c r="I107" s="66">
        <f>ROUND(+I105/12,2)</f>
        <v>1498.12</v>
      </c>
      <c r="M107" s="66">
        <f>ROUND(+M105/12,2)</f>
        <v>220.22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1498.12</v>
      </c>
      <c r="M110" s="78">
        <f>+M107</f>
        <v>220.22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207</v>
      </c>
      <c r="M112" s="62" t="s">
        <v>208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3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81</v>
      </c>
      <c r="E6" s="34"/>
      <c r="F6" s="127" t="s">
        <v>82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44562</v>
      </c>
    </row>
    <row r="28" spans="1:10">
      <c r="A28" s="36">
        <v>16</v>
      </c>
      <c r="B28" s="34" t="s">
        <v>97</v>
      </c>
      <c r="D28" s="108">
        <v>451893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100</v>
      </c>
    </row>
    <row r="33" spans="2:2">
      <c r="B33" s="44" t="s">
        <v>101</v>
      </c>
    </row>
    <row r="34" spans="2:2">
      <c r="B34" s="44" t="s">
        <v>102</v>
      </c>
    </row>
    <row r="35" spans="2:2">
      <c r="B35" s="44" t="s">
        <v>103</v>
      </c>
    </row>
    <row r="36" spans="2:2">
      <c r="B36" s="44" t="s">
        <v>104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6B0E-E63F-4C63-8C8F-32DBE19A5B58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6.25" customHeight="1">
      <c r="A3" s="121" t="str">
        <f>'G9AM4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'G9AM4 Input'!F6</f>
        <v>SFS: SD Hwy42 SD100 to 6 Mile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25.5" customHeight="1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SFS: SD Hwy42 SD100 to 6 Mile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71:L71"/>
    <mergeCell ref="A72:L72"/>
    <mergeCell ref="A73:L73"/>
    <mergeCell ref="A74:L74"/>
    <mergeCell ref="A75:L75"/>
    <mergeCell ref="A6:L6"/>
    <mergeCell ref="A70:L70"/>
    <mergeCell ref="A1:L1"/>
    <mergeCell ref="A2:L2"/>
    <mergeCell ref="A3:L3"/>
    <mergeCell ref="A4:L4"/>
    <mergeCell ref="A5:L5"/>
  </mergeCells>
  <pageMargins left="0.75" right="0.75" top="1" bottom="1" header="0.5" footer="0.5"/>
  <pageSetup scale="89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5" max="11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6646-EE33-4178-9805-152497456A79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108" t="s">
        <v>209</v>
      </c>
      <c r="E6" s="34"/>
      <c r="F6" s="127" t="s">
        <v>210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44805</v>
      </c>
    </row>
    <row r="28" spans="1:10">
      <c r="A28" s="36">
        <v>16</v>
      </c>
      <c r="B28" s="34" t="s">
        <v>97</v>
      </c>
      <c r="D28" s="108">
        <v>120522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211</v>
      </c>
    </row>
    <row r="33" spans="2:2">
      <c r="B33" s="44" t="s">
        <v>212</v>
      </c>
    </row>
    <row r="34" spans="2:2">
      <c r="B34" s="44" t="s">
        <v>213</v>
      </c>
    </row>
    <row r="35" spans="2:2">
      <c r="B35" s="44" t="s">
        <v>214</v>
      </c>
    </row>
    <row r="36" spans="2:2">
      <c r="B36" s="44" t="s">
        <v>215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FB0B-EA23-4C37-A67A-3176E23AD933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'G9AF2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'G9AF2 Input'!F6</f>
        <v>SFS: Tallgrass 69th to 85th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'G9AF2 Input'!B13</f>
        <v>44180</v>
      </c>
      <c r="D15" s="55"/>
      <c r="E15" s="56">
        <f>'G9AF2 Input'!D13*'G9AF2 Input'!$D$7*'G9AF2 Input'!$H$7</f>
        <v>0</v>
      </c>
      <c r="F15" s="57"/>
      <c r="G15" s="56">
        <f>'G9AF2 Input'!D27*'G9AF2 Input'!D6*'G9AF2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'G9AF2 Input'!B14</f>
        <v>44211</v>
      </c>
      <c r="D16" s="55"/>
      <c r="E16" s="58">
        <f>'G9AF2 Input'!D14*'G9AF2 Input'!$D$7*'G9AF2 Input'!$H$7</f>
        <v>0</v>
      </c>
      <c r="F16" s="57"/>
      <c r="G16" s="58">
        <f>'G9AF2 Input'!D28*'G9AF2 Input'!D7*'G9AF2 Input'!H7</f>
        <v>120522</v>
      </c>
      <c r="H16" s="57"/>
      <c r="I16" s="58">
        <f t="shared" si="0"/>
        <v>120522</v>
      </c>
    </row>
    <row r="17" spans="1:10">
      <c r="A17" s="48">
        <f t="shared" si="1"/>
        <v>3</v>
      </c>
      <c r="C17" s="55">
        <f>'G9AF2 Input'!B15</f>
        <v>44241</v>
      </c>
      <c r="D17" s="55"/>
      <c r="E17" s="58">
        <f>'G9AF2 Input'!D15*'G9AF2 Input'!$D$7*'G9AF2 Input'!$H$7</f>
        <v>0</v>
      </c>
      <c r="F17" s="57"/>
      <c r="G17" s="59">
        <f t="shared" ref="G17:G27" si="2">$G$16</f>
        <v>120522</v>
      </c>
      <c r="H17" s="57"/>
      <c r="I17" s="59">
        <f t="shared" si="0"/>
        <v>120522</v>
      </c>
      <c r="J17" s="57"/>
    </row>
    <row r="18" spans="1:10">
      <c r="A18" s="48">
        <f t="shared" si="1"/>
        <v>4</v>
      </c>
      <c r="C18" s="55">
        <f>'G9AF2 Input'!B16</f>
        <v>44271</v>
      </c>
      <c r="D18" s="55"/>
      <c r="E18" s="58">
        <f>'G9AF2 Input'!D16*'G9AF2 Input'!$D$7*'G9AF2 Input'!$H$7</f>
        <v>0</v>
      </c>
      <c r="F18" s="57"/>
      <c r="G18" s="59">
        <f t="shared" si="2"/>
        <v>120522</v>
      </c>
      <c r="H18" s="57"/>
      <c r="I18" s="59">
        <f t="shared" si="0"/>
        <v>120522</v>
      </c>
      <c r="J18" s="57"/>
    </row>
    <row r="19" spans="1:10">
      <c r="A19" s="48">
        <f t="shared" si="1"/>
        <v>5</v>
      </c>
      <c r="C19" s="55">
        <f>'G9AF2 Input'!B17</f>
        <v>44301</v>
      </c>
      <c r="D19" s="55"/>
      <c r="E19" s="58">
        <f>'G9AF2 Input'!D17*'G9AF2 Input'!$D$7*'G9AF2 Input'!$H$7</f>
        <v>0</v>
      </c>
      <c r="F19" s="57"/>
      <c r="G19" s="59">
        <f t="shared" si="2"/>
        <v>120522</v>
      </c>
      <c r="H19" s="57"/>
      <c r="I19" s="59">
        <f t="shared" si="0"/>
        <v>120522</v>
      </c>
      <c r="J19" s="57"/>
    </row>
    <row r="20" spans="1:10">
      <c r="A20" s="48">
        <f t="shared" si="1"/>
        <v>6</v>
      </c>
      <c r="C20" s="55">
        <f>'G9AF2 Input'!B18</f>
        <v>44331</v>
      </c>
      <c r="D20" s="55"/>
      <c r="E20" s="58">
        <f>'G9AF2 Input'!D18*'G9AF2 Input'!$D$7*'G9AF2 Input'!$H$7</f>
        <v>0</v>
      </c>
      <c r="F20" s="57"/>
      <c r="G20" s="59">
        <f t="shared" si="2"/>
        <v>120522</v>
      </c>
      <c r="H20" s="57"/>
      <c r="I20" s="59">
        <f t="shared" si="0"/>
        <v>120522</v>
      </c>
      <c r="J20" s="57"/>
    </row>
    <row r="21" spans="1:10">
      <c r="A21" s="48">
        <f t="shared" si="1"/>
        <v>7</v>
      </c>
      <c r="C21" s="55">
        <f>'G9AF2 Input'!B19</f>
        <v>44361</v>
      </c>
      <c r="D21" s="55"/>
      <c r="E21" s="58">
        <f>'G9AF2 Input'!D19*'G9AF2 Input'!$D$7*'G9AF2 Input'!$H$7</f>
        <v>0</v>
      </c>
      <c r="F21" s="57"/>
      <c r="G21" s="59">
        <f t="shared" si="2"/>
        <v>120522</v>
      </c>
      <c r="H21" s="57"/>
      <c r="I21" s="59">
        <f t="shared" si="0"/>
        <v>120522</v>
      </c>
      <c r="J21" s="57"/>
    </row>
    <row r="22" spans="1:10">
      <c r="A22" s="48">
        <f t="shared" si="1"/>
        <v>8</v>
      </c>
      <c r="C22" s="55">
        <f>'G9AF2 Input'!B20</f>
        <v>44391</v>
      </c>
      <c r="D22" s="55"/>
      <c r="E22" s="58">
        <f>'G9AF2 Input'!D20*'G9AF2 Input'!$D$7*'G9AF2 Input'!$H$7</f>
        <v>0</v>
      </c>
      <c r="F22" s="57"/>
      <c r="G22" s="59">
        <f t="shared" si="2"/>
        <v>120522</v>
      </c>
      <c r="H22" s="57"/>
      <c r="I22" s="59">
        <f t="shared" si="0"/>
        <v>120522</v>
      </c>
      <c r="J22" s="57"/>
    </row>
    <row r="23" spans="1:10">
      <c r="A23" s="48">
        <f t="shared" si="1"/>
        <v>9</v>
      </c>
      <c r="C23" s="55">
        <f>'G9AF2 Input'!B21</f>
        <v>44421</v>
      </c>
      <c r="D23" s="55"/>
      <c r="E23" s="58">
        <f>'G9AF2 Input'!D21*'G9AF2 Input'!$D$7*'G9AF2 Input'!$H$7</f>
        <v>0</v>
      </c>
      <c r="F23" s="57"/>
      <c r="G23" s="59">
        <f t="shared" si="2"/>
        <v>120522</v>
      </c>
      <c r="H23" s="57"/>
      <c r="I23" s="59">
        <f t="shared" si="0"/>
        <v>120522</v>
      </c>
      <c r="J23" s="57"/>
    </row>
    <row r="24" spans="1:10">
      <c r="A24" s="48">
        <f t="shared" si="1"/>
        <v>10</v>
      </c>
      <c r="C24" s="55">
        <f>'G9AF2 Input'!B22</f>
        <v>44451</v>
      </c>
      <c r="D24" s="55"/>
      <c r="E24" s="58">
        <f>'G9AF2 Input'!D22*'G9AF2 Input'!$D$7*'G9AF2 Input'!$H$7</f>
        <v>0</v>
      </c>
      <c r="F24" s="57"/>
      <c r="G24" s="59">
        <f t="shared" si="2"/>
        <v>120522</v>
      </c>
      <c r="H24" s="57"/>
      <c r="I24" s="59">
        <f t="shared" si="0"/>
        <v>120522</v>
      </c>
      <c r="J24" s="57"/>
    </row>
    <row r="25" spans="1:10">
      <c r="A25" s="48">
        <f t="shared" si="1"/>
        <v>11</v>
      </c>
      <c r="C25" s="55">
        <f>'G9AF2 Input'!B23</f>
        <v>44481</v>
      </c>
      <c r="D25" s="55"/>
      <c r="E25" s="58">
        <f>'G9AF2 Input'!D23*'G9AF2 Input'!$D$7*'G9AF2 Input'!$H$7</f>
        <v>0</v>
      </c>
      <c r="F25" s="57"/>
      <c r="G25" s="59">
        <f t="shared" si="2"/>
        <v>120522</v>
      </c>
      <c r="H25" s="57"/>
      <c r="I25" s="59">
        <f t="shared" si="0"/>
        <v>120522</v>
      </c>
      <c r="J25" s="57"/>
    </row>
    <row r="26" spans="1:10">
      <c r="A26" s="48">
        <f t="shared" si="1"/>
        <v>12</v>
      </c>
      <c r="C26" s="55">
        <f>'G9AF2 Input'!B24</f>
        <v>44511</v>
      </c>
      <c r="D26" s="55"/>
      <c r="E26" s="58">
        <f>'G9AF2 Input'!D24*'G9AF2 Input'!$D$7*'G9AF2 Input'!$H$7</f>
        <v>0</v>
      </c>
      <c r="F26" s="57"/>
      <c r="G26" s="59">
        <f t="shared" si="2"/>
        <v>120522</v>
      </c>
      <c r="H26" s="57"/>
      <c r="I26" s="59">
        <f t="shared" si="0"/>
        <v>120522</v>
      </c>
      <c r="J26" s="57"/>
    </row>
    <row r="27" spans="1:10">
      <c r="A27" s="48">
        <f t="shared" si="1"/>
        <v>13</v>
      </c>
      <c r="C27" s="55">
        <f>'G9AF2 Input'!B25</f>
        <v>44541</v>
      </c>
      <c r="D27" s="55"/>
      <c r="E27" s="60">
        <f>'G9AF2 Input'!D25*'G9AF2 Input'!$D$7*'G9AF2 Input'!$H$7</f>
        <v>0</v>
      </c>
      <c r="F27" s="57"/>
      <c r="G27" s="61">
        <f t="shared" si="2"/>
        <v>120522</v>
      </c>
      <c r="H27" s="57"/>
      <c r="I27" s="61">
        <f t="shared" si="0"/>
        <v>120522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1446264</v>
      </c>
      <c r="H28" s="64"/>
      <c r="I28" s="63">
        <f>SUM(I16:I27)</f>
        <v>1446264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120522</v>
      </c>
      <c r="H30" s="64"/>
      <c r="I30" s="66">
        <f>ROUND(+I28/12,2)</f>
        <v>120522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120522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2BA6-3CF5-4681-95EF-E9D27EDEA12F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2.5" customHeight="1">
      <c r="A3" s="119" t="str">
        <f>'G9AF2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'G9AF2 Input'!F6</f>
        <v>SFS: Tallgrass 69th to 85th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'G9AF2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"&amp;'G9AF2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'G9AF2 TotalWO'!C15</f>
        <v>44180</v>
      </c>
      <c r="D15" s="55"/>
      <c r="E15" s="56">
        <f>'G9AF2 TotalWO'!E15*'G9AF2 Input'!$H$13</f>
        <v>0</v>
      </c>
      <c r="F15" s="68"/>
      <c r="G15" s="56">
        <f>'G9AF2 TotalWO'!G15*'G9AF2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'G9AF2 TotalWO'!C16</f>
        <v>44211</v>
      </c>
      <c r="D16" s="55"/>
      <c r="E16" s="58">
        <f>'G9AF2 TotalWO'!E16*'G9AF2 Input'!$H$13</f>
        <v>0</v>
      </c>
      <c r="F16" s="68"/>
      <c r="G16" s="58">
        <f>'G9AF2 TotalWO'!G16*'G9AF2 Input'!$H$13</f>
        <v>120522</v>
      </c>
      <c r="H16" s="59"/>
      <c r="I16" s="58">
        <f t="shared" si="0"/>
        <v>120522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'G9AF2 TotalWO'!E17*'G9AF2 Input'!$H$13</f>
        <v>0</v>
      </c>
      <c r="F17" s="68"/>
      <c r="G17" s="68">
        <f>'G9AF2 TotalWO'!G17*'G9AF2 Input'!$H$13</f>
        <v>120522</v>
      </c>
      <c r="H17" s="59"/>
      <c r="I17" s="59">
        <f t="shared" si="0"/>
        <v>120522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'G9AF2 TotalWO'!E18*'G9AF2 Input'!$H$13</f>
        <v>0</v>
      </c>
      <c r="F18" s="68"/>
      <c r="G18" s="68">
        <f>'G9AF2 TotalWO'!G18*'G9AF2 Input'!$H$13</f>
        <v>120522</v>
      </c>
      <c r="H18" s="59"/>
      <c r="I18" s="59">
        <f t="shared" si="0"/>
        <v>120522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'G9AF2 TotalWO'!E19*'G9AF2 Input'!$H$13</f>
        <v>0</v>
      </c>
      <c r="F19" s="68"/>
      <c r="G19" s="68">
        <f>'G9AF2 TotalWO'!G19*'G9AF2 Input'!$H$13</f>
        <v>120522</v>
      </c>
      <c r="H19" s="59"/>
      <c r="I19" s="59">
        <f t="shared" si="0"/>
        <v>120522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'G9AF2 TotalWO'!E20*'G9AF2 Input'!$H$13</f>
        <v>0</v>
      </c>
      <c r="F20" s="68"/>
      <c r="G20" s="68">
        <f>'G9AF2 TotalWO'!G20*'G9AF2 Input'!$H$13</f>
        <v>120522</v>
      </c>
      <c r="H20" s="59"/>
      <c r="I20" s="59">
        <f t="shared" si="0"/>
        <v>120522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'G9AF2 TotalWO'!E21*'G9AF2 Input'!$H$13</f>
        <v>0</v>
      </c>
      <c r="F21" s="68"/>
      <c r="G21" s="68">
        <f>'G9AF2 TotalWO'!G21*'G9AF2 Input'!$H$13</f>
        <v>120522</v>
      </c>
      <c r="H21" s="59"/>
      <c r="I21" s="59">
        <f t="shared" si="0"/>
        <v>120522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'G9AF2 TotalWO'!E22*'G9AF2 Input'!$H$13</f>
        <v>0</v>
      </c>
      <c r="F22" s="68"/>
      <c r="G22" s="68">
        <f>'G9AF2 TotalWO'!G22*'G9AF2 Input'!$H$13</f>
        <v>120522</v>
      </c>
      <c r="H22" s="59"/>
      <c r="I22" s="59">
        <f t="shared" si="0"/>
        <v>120522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'G9AF2 TotalWO'!E23*'G9AF2 Input'!$H$13</f>
        <v>0</v>
      </c>
      <c r="F23" s="68"/>
      <c r="G23" s="68">
        <f>'G9AF2 TotalWO'!G23*'G9AF2 Input'!$H$13</f>
        <v>120522</v>
      </c>
      <c r="H23" s="59"/>
      <c r="I23" s="59">
        <f t="shared" si="0"/>
        <v>120522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'G9AF2 TotalWO'!E24*'G9AF2 Input'!$H$13</f>
        <v>0</v>
      </c>
      <c r="F24" s="68"/>
      <c r="G24" s="68">
        <f>'G9AF2 TotalWO'!G24*'G9AF2 Input'!$H$13</f>
        <v>120522</v>
      </c>
      <c r="H24" s="59"/>
      <c r="I24" s="59">
        <f t="shared" si="0"/>
        <v>120522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'G9AF2 TotalWO'!E25*'G9AF2 Input'!$H$13</f>
        <v>0</v>
      </c>
      <c r="F25" s="68"/>
      <c r="G25" s="68">
        <f>'G9AF2 TotalWO'!G25*'G9AF2 Input'!$H$13</f>
        <v>120522</v>
      </c>
      <c r="H25" s="59"/>
      <c r="I25" s="59">
        <f t="shared" si="0"/>
        <v>120522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'G9AF2 TotalWO'!E26*'G9AF2 Input'!$H$13</f>
        <v>0</v>
      </c>
      <c r="F26" s="68"/>
      <c r="G26" s="68">
        <f>'G9AF2 TotalWO'!G26*'G9AF2 Input'!$H$13</f>
        <v>120522</v>
      </c>
      <c r="H26" s="59"/>
      <c r="I26" s="59">
        <f t="shared" si="0"/>
        <v>120522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'G9AF2 TotalWO'!E27*'G9AF2 Input'!$H$13</f>
        <v>0</v>
      </c>
      <c r="F27" s="68"/>
      <c r="G27" s="71">
        <f>'G9AF2 TotalWO'!G27*'G9AF2 Input'!$H$13</f>
        <v>120522</v>
      </c>
      <c r="H27" s="59"/>
      <c r="I27" s="61">
        <f t="shared" si="0"/>
        <v>120522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1446264</v>
      </c>
      <c r="H28" s="64"/>
      <c r="I28" s="63">
        <f>SUM(I16:I27)</f>
        <v>1446264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120522</v>
      </c>
      <c r="H30" s="64"/>
      <c r="I30" s="66">
        <f>ROUND(+I28/12,2)</f>
        <v>120522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120522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216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2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Tallgrass 69th to 85th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221.55</v>
      </c>
      <c r="H53" s="64"/>
      <c r="I53" s="63">
        <f t="shared" ref="I53:I64" si="4">G53-E53</f>
        <v>221.55</v>
      </c>
      <c r="K53" s="58"/>
      <c r="M53" s="17">
        <f>+ROUND(M67/12,2)</f>
        <v>32.57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221.55</v>
      </c>
      <c r="H54" s="57"/>
      <c r="I54" s="59">
        <f t="shared" si="4"/>
        <v>221.55</v>
      </c>
      <c r="M54" s="85">
        <f>+M53</f>
        <v>32.57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221.55</v>
      </c>
      <c r="H55" s="57"/>
      <c r="I55" s="59">
        <f t="shared" si="4"/>
        <v>221.55</v>
      </c>
      <c r="M55" s="85">
        <f t="shared" ref="M55:M64" si="8">+M54</f>
        <v>32.57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221.55</v>
      </c>
      <c r="H56" s="57"/>
      <c r="I56" s="59">
        <f t="shared" si="4"/>
        <v>221.55</v>
      </c>
      <c r="M56" s="85">
        <f t="shared" si="8"/>
        <v>32.57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221.55</v>
      </c>
      <c r="H57" s="57"/>
      <c r="I57" s="59">
        <f t="shared" si="4"/>
        <v>221.55</v>
      </c>
      <c r="M57" s="85">
        <f t="shared" si="8"/>
        <v>32.57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221.55</v>
      </c>
      <c r="H58" s="57"/>
      <c r="I58" s="59">
        <f t="shared" si="4"/>
        <v>221.55</v>
      </c>
      <c r="M58" s="85">
        <f t="shared" si="8"/>
        <v>32.57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221.55</v>
      </c>
      <c r="H59" s="57"/>
      <c r="I59" s="59">
        <f t="shared" si="4"/>
        <v>221.55</v>
      </c>
      <c r="M59" s="85">
        <f t="shared" si="8"/>
        <v>32.57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221.55</v>
      </c>
      <c r="H60" s="57"/>
      <c r="I60" s="59">
        <f t="shared" si="4"/>
        <v>221.55</v>
      </c>
      <c r="M60" s="85">
        <f>+M59-0.01</f>
        <v>32.56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221.55</v>
      </c>
      <c r="H61" s="57"/>
      <c r="I61" s="59">
        <f t="shared" si="4"/>
        <v>221.55</v>
      </c>
      <c r="M61" s="85">
        <f t="shared" si="8"/>
        <v>32.56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221.55</v>
      </c>
      <c r="H62" s="57"/>
      <c r="I62" s="59">
        <f t="shared" si="4"/>
        <v>221.55</v>
      </c>
      <c r="M62" s="85">
        <f t="shared" si="8"/>
        <v>32.56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221.55</v>
      </c>
      <c r="H63" s="57"/>
      <c r="I63" s="59">
        <f t="shared" si="4"/>
        <v>221.55</v>
      </c>
      <c r="M63" s="85">
        <f t="shared" si="8"/>
        <v>32.56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221.55</v>
      </c>
      <c r="H64" s="57"/>
      <c r="I64" s="61">
        <f t="shared" si="4"/>
        <v>221.55</v>
      </c>
      <c r="M64" s="61">
        <f t="shared" si="8"/>
        <v>32.56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2658.6000000000004</v>
      </c>
      <c r="H65" s="64"/>
      <c r="I65" s="63">
        <f>SUM(I53:I64)</f>
        <v>2658.6000000000004</v>
      </c>
      <c r="M65" s="63">
        <f>SUM(M53:M64)</f>
        <v>390.78999999999996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2658.6000000000004</v>
      </c>
      <c r="K67" s="66">
        <f>ROUND(G16*K73,2)</f>
        <v>4519.58</v>
      </c>
      <c r="M67" s="66">
        <f>ROUND(+(K67-I67)*M73,2)</f>
        <v>390.81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217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'G9AF2 Input'!J13</f>
        <v>2.2058823529411766E-2</v>
      </c>
      <c r="F73" s="76"/>
      <c r="G73" s="76">
        <f>E73/12</f>
        <v>1.8382352941176473E-3</v>
      </c>
      <c r="K73" s="86">
        <f>+'G9AF2 Input'!L13</f>
        <v>3.7499999999999999E-2</v>
      </c>
      <c r="M73" s="87">
        <f>+'G9AF2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Tallgrass 69th to 85th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48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52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221.55</v>
      </c>
      <c r="H93" s="57"/>
      <c r="I93" s="58">
        <f t="shared" si="9"/>
        <v>221.55</v>
      </c>
      <c r="M93" s="58">
        <f>+M53</f>
        <v>32.57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443.1</v>
      </c>
      <c r="H94" s="57"/>
      <c r="I94" s="59">
        <f t="shared" si="9"/>
        <v>443.1</v>
      </c>
      <c r="M94" s="59">
        <f>+M93+M54</f>
        <v>65.14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664.65000000000009</v>
      </c>
      <c r="H95" s="57"/>
      <c r="I95" s="59">
        <f t="shared" si="9"/>
        <v>664.65000000000009</v>
      </c>
      <c r="M95" s="59">
        <f t="shared" ref="M95:M104" si="14">+M94+M55</f>
        <v>97.710000000000008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886.2</v>
      </c>
      <c r="H96" s="57"/>
      <c r="I96" s="59">
        <f t="shared" si="9"/>
        <v>886.2</v>
      </c>
      <c r="M96" s="59">
        <f t="shared" si="14"/>
        <v>130.28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1107.75</v>
      </c>
      <c r="H97" s="57"/>
      <c r="I97" s="59">
        <f t="shared" si="9"/>
        <v>1107.75</v>
      </c>
      <c r="M97" s="59">
        <f t="shared" si="14"/>
        <v>162.85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1329.3</v>
      </c>
      <c r="H98" s="57"/>
      <c r="I98" s="59">
        <f t="shared" si="9"/>
        <v>1329.3</v>
      </c>
      <c r="M98" s="59">
        <f t="shared" si="14"/>
        <v>195.42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1550.85</v>
      </c>
      <c r="H99" s="57"/>
      <c r="I99" s="59">
        <f t="shared" si="9"/>
        <v>1550.85</v>
      </c>
      <c r="M99" s="59">
        <f t="shared" si="14"/>
        <v>227.98999999999998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1772.3999999999999</v>
      </c>
      <c r="H100" s="57"/>
      <c r="I100" s="59">
        <f t="shared" si="9"/>
        <v>1772.3999999999999</v>
      </c>
      <c r="M100" s="59">
        <f t="shared" si="14"/>
        <v>260.54999999999995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1993.9499999999998</v>
      </c>
      <c r="H101" s="57"/>
      <c r="I101" s="59">
        <f t="shared" si="9"/>
        <v>1993.9499999999998</v>
      </c>
      <c r="M101" s="59">
        <f t="shared" si="14"/>
        <v>293.10999999999996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2215.5</v>
      </c>
      <c r="H102" s="57"/>
      <c r="I102" s="59">
        <f t="shared" si="9"/>
        <v>2215.5</v>
      </c>
      <c r="M102" s="59">
        <f t="shared" si="14"/>
        <v>325.66999999999996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2437.0500000000002</v>
      </c>
      <c r="H103" s="57"/>
      <c r="I103" s="59">
        <f t="shared" si="9"/>
        <v>2437.0500000000002</v>
      </c>
      <c r="M103" s="59">
        <f t="shared" si="14"/>
        <v>358.22999999999996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2658.6000000000004</v>
      </c>
      <c r="H104" s="57"/>
      <c r="I104" s="61">
        <f t="shared" si="9"/>
        <v>2658.6000000000004</v>
      </c>
      <c r="M104" s="61">
        <f t="shared" si="14"/>
        <v>390.78999999999996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17280.900000000001</v>
      </c>
      <c r="H105" s="64"/>
      <c r="I105" s="63">
        <f>SUM(I93:I104)</f>
        <v>17280.900000000001</v>
      </c>
      <c r="M105" s="63">
        <f>SUM(M93:M104)</f>
        <v>2540.31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1440.08</v>
      </c>
      <c r="H107" s="64"/>
      <c r="I107" s="66">
        <f>ROUND(+I105/12,2)</f>
        <v>1440.08</v>
      </c>
      <c r="M107" s="66">
        <f>ROUND(+M105/12,2)</f>
        <v>211.69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1440.08</v>
      </c>
      <c r="M110" s="78">
        <f>+M107</f>
        <v>211.69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218</v>
      </c>
      <c r="M112" s="62" t="s">
        <v>219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96CA-FAB9-41E6-AC3D-1F495BEE9349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4.75" customHeight="1">
      <c r="A3" s="121" t="str">
        <f>'G9AF2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'G9AF2 Input'!F6</f>
        <v>SFS: Tallgrass 69th to 85th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SFS: Tallgrass 69th to 85th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71:L71"/>
    <mergeCell ref="A72:L72"/>
    <mergeCell ref="A73:L73"/>
    <mergeCell ref="A74:L74"/>
    <mergeCell ref="A75:L75"/>
    <mergeCell ref="A6:L6"/>
    <mergeCell ref="A70:L70"/>
    <mergeCell ref="A1:L1"/>
    <mergeCell ref="A2:L2"/>
    <mergeCell ref="A3:L3"/>
    <mergeCell ref="A4:L4"/>
    <mergeCell ref="A5:L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944D-B566-44A3-853E-2C1F4AE98AAF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9" style="97" customWidth="1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220</v>
      </c>
      <c r="E6" s="34"/>
      <c r="F6" s="124" t="s">
        <v>221</v>
      </c>
      <c r="G6" s="124"/>
      <c r="H6" s="124"/>
      <c r="I6" s="124"/>
      <c r="J6" s="124"/>
      <c r="K6" s="124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222</v>
      </c>
      <c r="H13" s="5">
        <v>1</v>
      </c>
      <c r="J13" s="42">
        <f>1.5/55</f>
        <v>2.7272727272727271E-2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44926</v>
      </c>
    </row>
    <row r="28" spans="1:10">
      <c r="A28" s="36">
        <v>16</v>
      </c>
      <c r="B28" s="34" t="s">
        <v>97</v>
      </c>
      <c r="D28" s="108">
        <v>100035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223</v>
      </c>
    </row>
    <row r="33" spans="2:2">
      <c r="B33" s="44" t="s">
        <v>224</v>
      </c>
    </row>
    <row r="34" spans="2:2">
      <c r="B34" s="44" t="s">
        <v>225</v>
      </c>
    </row>
    <row r="35" spans="2:2">
      <c r="B35" s="44" t="s">
        <v>226</v>
      </c>
    </row>
    <row r="36" spans="2:2">
      <c r="B36" s="44" t="s">
        <v>227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K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BF1C-2D65-4B63-A07A-1918FBED2863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3.25" customHeight="1">
      <c r="A3" s="49" t="str">
        <f>'G9BDJ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'G9BDJ Input'!F6</f>
        <v>2022 Flow Computer Rplmt-SD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'G9BDJ Input'!B13</f>
        <v>44180</v>
      </c>
      <c r="D15" s="55"/>
      <c r="E15" s="56">
        <f>'G9BDJ Input'!D13*'G9BDJ Input'!$D$7*'G9BDJ Input'!$H$7</f>
        <v>0</v>
      </c>
      <c r="F15" s="57"/>
      <c r="G15" s="90">
        <f>'G9BDJ Input'!D27*'G9BDJ Input'!D6*'G9BDJ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'G9BDJ Input'!B14</f>
        <v>44211</v>
      </c>
      <c r="D16" s="55"/>
      <c r="E16" s="58">
        <f>'G9BDJ Input'!D14*'G9BDJ Input'!$D$7*'G9BDJ Input'!$H$7</f>
        <v>0</v>
      </c>
      <c r="F16" s="57"/>
      <c r="G16" s="58">
        <f>'G9BDJ Input'!D28*'G9BDJ Input'!D7*'G9BDJ Input'!H7</f>
        <v>100035</v>
      </c>
      <c r="H16" s="57"/>
      <c r="I16" s="58">
        <f t="shared" si="0"/>
        <v>100035</v>
      </c>
    </row>
    <row r="17" spans="1:10">
      <c r="A17" s="48">
        <f t="shared" si="1"/>
        <v>3</v>
      </c>
      <c r="C17" s="55">
        <f>'G9BDJ Input'!B15</f>
        <v>44241</v>
      </c>
      <c r="D17" s="55"/>
      <c r="E17" s="58">
        <f>'G9BDJ Input'!D15*'G9BDJ Input'!$D$7*'G9BDJ Input'!$H$7</f>
        <v>0</v>
      </c>
      <c r="F17" s="57"/>
      <c r="G17" s="59">
        <f t="shared" ref="G17:G27" si="2">$G$16</f>
        <v>100035</v>
      </c>
      <c r="H17" s="57"/>
      <c r="I17" s="59">
        <f t="shared" si="0"/>
        <v>100035</v>
      </c>
      <c r="J17" s="57"/>
    </row>
    <row r="18" spans="1:10">
      <c r="A18" s="48">
        <f t="shared" si="1"/>
        <v>4</v>
      </c>
      <c r="C18" s="55">
        <f>'G9BDJ Input'!B16</f>
        <v>44271</v>
      </c>
      <c r="D18" s="55"/>
      <c r="E18" s="58">
        <f>'G9BDJ Input'!D16*'G9BDJ Input'!$D$7*'G9BDJ Input'!$H$7</f>
        <v>0</v>
      </c>
      <c r="F18" s="57"/>
      <c r="G18" s="59">
        <f t="shared" si="2"/>
        <v>100035</v>
      </c>
      <c r="H18" s="57"/>
      <c r="I18" s="59">
        <f t="shared" si="0"/>
        <v>100035</v>
      </c>
      <c r="J18" s="57"/>
    </row>
    <row r="19" spans="1:10">
      <c r="A19" s="48">
        <f t="shared" si="1"/>
        <v>5</v>
      </c>
      <c r="C19" s="55">
        <f>'G9BDJ Input'!B17</f>
        <v>44301</v>
      </c>
      <c r="D19" s="55"/>
      <c r="E19" s="58">
        <f>'G9BDJ Input'!D17*'G9BDJ Input'!$D$7*'G9BDJ Input'!$H$7</f>
        <v>0</v>
      </c>
      <c r="F19" s="57"/>
      <c r="G19" s="59">
        <f t="shared" si="2"/>
        <v>100035</v>
      </c>
      <c r="H19" s="57"/>
      <c r="I19" s="59">
        <f t="shared" si="0"/>
        <v>100035</v>
      </c>
      <c r="J19" s="57"/>
    </row>
    <row r="20" spans="1:10">
      <c r="A20" s="48">
        <f t="shared" si="1"/>
        <v>6</v>
      </c>
      <c r="C20" s="55">
        <f>'G9BDJ Input'!B18</f>
        <v>44331</v>
      </c>
      <c r="D20" s="55"/>
      <c r="E20" s="58">
        <f>'G9BDJ Input'!D18*'G9BDJ Input'!$D$7*'G9BDJ Input'!$H$7</f>
        <v>0</v>
      </c>
      <c r="F20" s="57"/>
      <c r="G20" s="59">
        <f t="shared" si="2"/>
        <v>100035</v>
      </c>
      <c r="H20" s="57"/>
      <c r="I20" s="59">
        <f t="shared" si="0"/>
        <v>100035</v>
      </c>
      <c r="J20" s="57"/>
    </row>
    <row r="21" spans="1:10">
      <c r="A21" s="48">
        <f t="shared" si="1"/>
        <v>7</v>
      </c>
      <c r="C21" s="55">
        <f>'G9BDJ Input'!B19</f>
        <v>44361</v>
      </c>
      <c r="D21" s="55"/>
      <c r="E21" s="58">
        <f>'G9BDJ Input'!D19*'G9BDJ Input'!$D$7*'G9BDJ Input'!$H$7</f>
        <v>0</v>
      </c>
      <c r="F21" s="57"/>
      <c r="G21" s="59">
        <f t="shared" si="2"/>
        <v>100035</v>
      </c>
      <c r="H21" s="57"/>
      <c r="I21" s="59">
        <f t="shared" si="0"/>
        <v>100035</v>
      </c>
      <c r="J21" s="57"/>
    </row>
    <row r="22" spans="1:10">
      <c r="A22" s="48">
        <f t="shared" si="1"/>
        <v>8</v>
      </c>
      <c r="C22" s="55">
        <f>'G9BDJ Input'!B20</f>
        <v>44391</v>
      </c>
      <c r="D22" s="55"/>
      <c r="E22" s="58">
        <f>'G9BDJ Input'!D20*'G9BDJ Input'!$D$7*'G9BDJ Input'!$H$7</f>
        <v>0</v>
      </c>
      <c r="F22" s="57"/>
      <c r="G22" s="59">
        <f t="shared" si="2"/>
        <v>100035</v>
      </c>
      <c r="H22" s="57"/>
      <c r="I22" s="59">
        <f t="shared" si="0"/>
        <v>100035</v>
      </c>
      <c r="J22" s="57"/>
    </row>
    <row r="23" spans="1:10">
      <c r="A23" s="48">
        <f t="shared" si="1"/>
        <v>9</v>
      </c>
      <c r="C23" s="55">
        <f>'G9BDJ Input'!B21</f>
        <v>44421</v>
      </c>
      <c r="D23" s="55"/>
      <c r="E23" s="58">
        <f>'G9BDJ Input'!D21*'G9BDJ Input'!$D$7*'G9BDJ Input'!$H$7</f>
        <v>0</v>
      </c>
      <c r="F23" s="57"/>
      <c r="G23" s="59">
        <f t="shared" si="2"/>
        <v>100035</v>
      </c>
      <c r="H23" s="57"/>
      <c r="I23" s="59">
        <f t="shared" si="0"/>
        <v>100035</v>
      </c>
      <c r="J23" s="57"/>
    </row>
    <row r="24" spans="1:10">
      <c r="A24" s="48">
        <f t="shared" si="1"/>
        <v>10</v>
      </c>
      <c r="C24" s="55">
        <f>'G9BDJ Input'!B22</f>
        <v>44451</v>
      </c>
      <c r="D24" s="55"/>
      <c r="E24" s="58">
        <f>'G9BDJ Input'!D22*'G9BDJ Input'!$D$7*'G9BDJ Input'!$H$7</f>
        <v>0</v>
      </c>
      <c r="F24" s="57"/>
      <c r="G24" s="59">
        <f t="shared" si="2"/>
        <v>100035</v>
      </c>
      <c r="H24" s="57"/>
      <c r="I24" s="59">
        <f t="shared" si="0"/>
        <v>100035</v>
      </c>
      <c r="J24" s="57"/>
    </row>
    <row r="25" spans="1:10">
      <c r="A25" s="48">
        <f t="shared" si="1"/>
        <v>11</v>
      </c>
      <c r="C25" s="55">
        <f>'G9BDJ Input'!B23</f>
        <v>44481</v>
      </c>
      <c r="D25" s="55"/>
      <c r="E25" s="58">
        <f>'G9BDJ Input'!D23*'G9BDJ Input'!$D$7*'G9BDJ Input'!$H$7</f>
        <v>0</v>
      </c>
      <c r="F25" s="57"/>
      <c r="G25" s="59">
        <f t="shared" si="2"/>
        <v>100035</v>
      </c>
      <c r="H25" s="57"/>
      <c r="I25" s="59">
        <f t="shared" si="0"/>
        <v>100035</v>
      </c>
      <c r="J25" s="57"/>
    </row>
    <row r="26" spans="1:10">
      <c r="A26" s="48">
        <f t="shared" si="1"/>
        <v>12</v>
      </c>
      <c r="C26" s="55">
        <f>'G9BDJ Input'!B24</f>
        <v>44511</v>
      </c>
      <c r="D26" s="55"/>
      <c r="E26" s="58">
        <f>'G9BDJ Input'!D24*'G9BDJ Input'!$D$7*'G9BDJ Input'!$H$7</f>
        <v>0</v>
      </c>
      <c r="F26" s="57"/>
      <c r="G26" s="59">
        <f t="shared" si="2"/>
        <v>100035</v>
      </c>
      <c r="H26" s="57"/>
      <c r="I26" s="59">
        <f t="shared" si="0"/>
        <v>100035</v>
      </c>
      <c r="J26" s="57"/>
    </row>
    <row r="27" spans="1:10">
      <c r="A27" s="48">
        <f t="shared" si="1"/>
        <v>13</v>
      </c>
      <c r="C27" s="55">
        <f>'G9BDJ Input'!B25</f>
        <v>44541</v>
      </c>
      <c r="D27" s="55"/>
      <c r="E27" s="60">
        <f>'G9BDJ Input'!D25*'G9BDJ Input'!$D$7*'G9BDJ Input'!$H$7</f>
        <v>0</v>
      </c>
      <c r="F27" s="57"/>
      <c r="G27" s="61">
        <f t="shared" si="2"/>
        <v>100035</v>
      </c>
      <c r="H27" s="57"/>
      <c r="I27" s="61">
        <f t="shared" si="0"/>
        <v>100035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1200420</v>
      </c>
      <c r="H28" s="64"/>
      <c r="I28" s="63">
        <f>SUM(I16:I27)</f>
        <v>1200420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100035</v>
      </c>
      <c r="H30" s="64"/>
      <c r="I30" s="66">
        <f>ROUND(+I28/12,2)</f>
        <v>100035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100035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3FC1-A8C7-4F91-9D52-19E3CEC1FCB4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2.5" customHeight="1">
      <c r="A3" s="119" t="str">
        <f>'G9BDJ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'G9BDJ Input'!F6</f>
        <v>2022 Flow Computer Rplmt-SD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'G9BDJ 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"&amp;'G9BDJ Input'!F13</f>
        <v>Acct 2.379.00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'G9BDJ  TotalWO'!C15</f>
        <v>44180</v>
      </c>
      <c r="D15" s="55"/>
      <c r="E15" s="56">
        <f>'G9BDJ  TotalWO'!E15*'G9BDJ Input'!$H$13</f>
        <v>0</v>
      </c>
      <c r="F15" s="68"/>
      <c r="G15" s="90">
        <f>'G9BDJ  TotalWO'!G15*'G9BDJ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'G9BDJ  TotalWO'!C16</f>
        <v>44211</v>
      </c>
      <c r="D16" s="55"/>
      <c r="E16" s="58">
        <f>'G9BDJ  TotalWO'!E16*'G9BDJ Input'!$H$13</f>
        <v>0</v>
      </c>
      <c r="F16" s="68"/>
      <c r="G16" s="58">
        <f>'G9BDJ  TotalWO'!G16*'G9BDJ Input'!$H$13</f>
        <v>100035</v>
      </c>
      <c r="H16" s="59"/>
      <c r="I16" s="58">
        <f t="shared" si="0"/>
        <v>100035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'G9BDJ  TotalWO'!E17*'G9BDJ Input'!$H$13</f>
        <v>0</v>
      </c>
      <c r="F17" s="68"/>
      <c r="G17" s="68">
        <f>'G9BDJ  TotalWO'!G17*'G9BDJ Input'!$H$13</f>
        <v>100035</v>
      </c>
      <c r="H17" s="59"/>
      <c r="I17" s="59">
        <f t="shared" si="0"/>
        <v>100035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'G9BDJ  TotalWO'!E18*'G9BDJ Input'!$H$13</f>
        <v>0</v>
      </c>
      <c r="F18" s="68"/>
      <c r="G18" s="68">
        <f>'G9BDJ  TotalWO'!G18*'G9BDJ Input'!$H$13</f>
        <v>100035</v>
      </c>
      <c r="H18" s="59"/>
      <c r="I18" s="59">
        <f t="shared" si="0"/>
        <v>100035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'G9BDJ  TotalWO'!E19*'G9BDJ Input'!$H$13</f>
        <v>0</v>
      </c>
      <c r="F19" s="68"/>
      <c r="G19" s="68">
        <f>'G9BDJ  TotalWO'!G19*'G9BDJ Input'!$H$13</f>
        <v>100035</v>
      </c>
      <c r="H19" s="59"/>
      <c r="I19" s="59">
        <f t="shared" si="0"/>
        <v>100035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'G9BDJ  TotalWO'!E20*'G9BDJ Input'!$H$13</f>
        <v>0</v>
      </c>
      <c r="F20" s="68"/>
      <c r="G20" s="68">
        <f>'G9BDJ  TotalWO'!G20*'G9BDJ Input'!$H$13</f>
        <v>100035</v>
      </c>
      <c r="H20" s="59"/>
      <c r="I20" s="59">
        <f t="shared" si="0"/>
        <v>100035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'G9BDJ  TotalWO'!E21*'G9BDJ Input'!$H$13</f>
        <v>0</v>
      </c>
      <c r="F21" s="68"/>
      <c r="G21" s="68">
        <f>'G9BDJ  TotalWO'!G21*'G9BDJ Input'!$H$13</f>
        <v>100035</v>
      </c>
      <c r="H21" s="59"/>
      <c r="I21" s="59">
        <f t="shared" si="0"/>
        <v>100035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'G9BDJ  TotalWO'!E22*'G9BDJ Input'!$H$13</f>
        <v>0</v>
      </c>
      <c r="F22" s="68"/>
      <c r="G22" s="68">
        <f>'G9BDJ  TotalWO'!G22*'G9BDJ Input'!$H$13</f>
        <v>100035</v>
      </c>
      <c r="H22" s="59"/>
      <c r="I22" s="59">
        <f t="shared" si="0"/>
        <v>100035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'G9BDJ  TotalWO'!E23*'G9BDJ Input'!$H$13</f>
        <v>0</v>
      </c>
      <c r="F23" s="68"/>
      <c r="G23" s="68">
        <f>'G9BDJ  TotalWO'!G23*'G9BDJ Input'!$H$13</f>
        <v>100035</v>
      </c>
      <c r="H23" s="59"/>
      <c r="I23" s="59">
        <f t="shared" si="0"/>
        <v>100035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'G9BDJ  TotalWO'!E24*'G9BDJ Input'!$H$13</f>
        <v>0</v>
      </c>
      <c r="F24" s="68"/>
      <c r="G24" s="68">
        <f>'G9BDJ  TotalWO'!G24*'G9BDJ Input'!$H$13</f>
        <v>100035</v>
      </c>
      <c r="H24" s="59"/>
      <c r="I24" s="59">
        <f t="shared" si="0"/>
        <v>100035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'G9BDJ  TotalWO'!E25*'G9BDJ Input'!$H$13</f>
        <v>0</v>
      </c>
      <c r="F25" s="68"/>
      <c r="G25" s="68">
        <f>'G9BDJ  TotalWO'!G25*'G9BDJ Input'!$H$13</f>
        <v>100035</v>
      </c>
      <c r="H25" s="59"/>
      <c r="I25" s="59">
        <f t="shared" si="0"/>
        <v>100035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'G9BDJ  TotalWO'!E26*'G9BDJ Input'!$H$13</f>
        <v>0</v>
      </c>
      <c r="F26" s="68"/>
      <c r="G26" s="68">
        <f>'G9BDJ  TotalWO'!G26*'G9BDJ Input'!$H$13</f>
        <v>100035</v>
      </c>
      <c r="H26" s="59"/>
      <c r="I26" s="59">
        <f t="shared" si="0"/>
        <v>100035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'G9BDJ  TotalWO'!E27*'G9BDJ Input'!$H$13</f>
        <v>0</v>
      </c>
      <c r="F27" s="68"/>
      <c r="G27" s="71">
        <f>'G9BDJ  TotalWO'!G27*'G9BDJ Input'!$H$13</f>
        <v>100035</v>
      </c>
      <c r="H27" s="59"/>
      <c r="I27" s="61">
        <f t="shared" si="0"/>
        <v>100035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1200420</v>
      </c>
      <c r="H28" s="64"/>
      <c r="I28" s="63">
        <f>SUM(I16:I27)</f>
        <v>1200420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100035</v>
      </c>
      <c r="H30" s="64"/>
      <c r="I30" s="66">
        <f>ROUND(+I28/12,2)</f>
        <v>100035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100035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228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1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2022 Flow Computer Rplmt-SD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2.379.00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227.35</v>
      </c>
      <c r="H53" s="64"/>
      <c r="I53" s="63">
        <f t="shared" ref="I53:I64" si="4">G53-E53</f>
        <v>227.35</v>
      </c>
      <c r="K53" s="58"/>
      <c r="M53" s="17">
        <f>+ROUND(M67/12,2)</f>
        <v>17.899999999999999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227.35</v>
      </c>
      <c r="H54" s="57"/>
      <c r="I54" s="59">
        <f t="shared" si="4"/>
        <v>227.35</v>
      </c>
      <c r="M54" s="85">
        <f>+M53</f>
        <v>17.899999999999999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227.35</v>
      </c>
      <c r="H55" s="57"/>
      <c r="I55" s="59">
        <f t="shared" si="4"/>
        <v>227.35</v>
      </c>
      <c r="M55" s="85">
        <f t="shared" ref="M55:M64" si="8">+M54</f>
        <v>17.899999999999999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227.35</v>
      </c>
      <c r="H56" s="57"/>
      <c r="I56" s="59">
        <f t="shared" si="4"/>
        <v>227.35</v>
      </c>
      <c r="M56" s="85">
        <f t="shared" si="8"/>
        <v>17.899999999999999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227.35</v>
      </c>
      <c r="H57" s="57"/>
      <c r="I57" s="59">
        <f t="shared" si="4"/>
        <v>227.35</v>
      </c>
      <c r="M57" s="85">
        <f t="shared" si="8"/>
        <v>17.899999999999999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227.35</v>
      </c>
      <c r="H58" s="57"/>
      <c r="I58" s="59">
        <f t="shared" si="4"/>
        <v>227.35</v>
      </c>
      <c r="M58" s="85">
        <f t="shared" si="8"/>
        <v>17.899999999999999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227.35</v>
      </c>
      <c r="H59" s="57"/>
      <c r="I59" s="59">
        <f t="shared" si="4"/>
        <v>227.35</v>
      </c>
      <c r="M59" s="85">
        <f t="shared" si="8"/>
        <v>17.899999999999999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227.35</v>
      </c>
      <c r="H60" s="57"/>
      <c r="I60" s="59">
        <f t="shared" si="4"/>
        <v>227.35</v>
      </c>
      <c r="M60" s="85">
        <f t="shared" si="8"/>
        <v>17.899999999999999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227.35</v>
      </c>
      <c r="H61" s="57"/>
      <c r="I61" s="59">
        <f t="shared" si="4"/>
        <v>227.35</v>
      </c>
      <c r="M61" s="85">
        <f>+M60+0.01</f>
        <v>17.91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227.35</v>
      </c>
      <c r="H62" s="57"/>
      <c r="I62" s="59">
        <f t="shared" si="4"/>
        <v>227.35</v>
      </c>
      <c r="M62" s="85">
        <f t="shared" si="8"/>
        <v>17.91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227.35</v>
      </c>
      <c r="H63" s="57"/>
      <c r="I63" s="59">
        <f t="shared" si="4"/>
        <v>227.35</v>
      </c>
      <c r="M63" s="85">
        <f t="shared" si="8"/>
        <v>17.91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227.35</v>
      </c>
      <c r="H64" s="57"/>
      <c r="I64" s="61">
        <f t="shared" si="4"/>
        <v>227.35</v>
      </c>
      <c r="M64" s="61">
        <f t="shared" si="8"/>
        <v>17.91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2728.1999999999994</v>
      </c>
      <c r="H65" s="64"/>
      <c r="I65" s="63">
        <f>SUM(I53:I64)</f>
        <v>2728.1999999999994</v>
      </c>
      <c r="M65" s="63">
        <f>SUM(M53:M64)</f>
        <v>214.84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2728.1999999999994</v>
      </c>
      <c r="K67" s="66">
        <f>ROUND(G16*K73,2)</f>
        <v>3751.31</v>
      </c>
      <c r="M67" s="66">
        <f>ROUND(+(K67-I67)*M73,2)</f>
        <v>214.85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229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2.379.00</v>
      </c>
      <c r="D73" s="75"/>
      <c r="E73" s="76">
        <f>'G9BDJ Input'!J13</f>
        <v>2.7272727272727271E-2</v>
      </c>
      <c r="F73" s="76"/>
      <c r="G73" s="76">
        <f>E73/12</f>
        <v>2.2727272727272726E-3</v>
      </c>
      <c r="K73" s="86">
        <f>+'G9BDJ Input'!L13</f>
        <v>3.7499999999999999E-2</v>
      </c>
      <c r="M73" s="87">
        <f>+'G9BDJ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2022 Flow Computer Rplmt-SD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2.379.00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227.35</v>
      </c>
      <c r="H93" s="57"/>
      <c r="I93" s="58">
        <f t="shared" si="9"/>
        <v>227.35</v>
      </c>
      <c r="M93" s="58">
        <f>+M53</f>
        <v>17.899999999999999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454.7</v>
      </c>
      <c r="H94" s="57"/>
      <c r="I94" s="59">
        <f t="shared" si="9"/>
        <v>454.7</v>
      </c>
      <c r="M94" s="59">
        <f>+M93+M54</f>
        <v>35.799999999999997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682.05</v>
      </c>
      <c r="H95" s="57"/>
      <c r="I95" s="59">
        <f t="shared" si="9"/>
        <v>682.05</v>
      </c>
      <c r="M95" s="59">
        <f t="shared" ref="M95:M104" si="14">+M94+M55</f>
        <v>53.699999999999996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909.4</v>
      </c>
      <c r="H96" s="57"/>
      <c r="I96" s="59">
        <f t="shared" si="9"/>
        <v>909.4</v>
      </c>
      <c r="M96" s="59">
        <f t="shared" si="14"/>
        <v>71.599999999999994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1136.75</v>
      </c>
      <c r="H97" s="57"/>
      <c r="I97" s="59">
        <f t="shared" si="9"/>
        <v>1136.75</v>
      </c>
      <c r="M97" s="59">
        <f t="shared" si="14"/>
        <v>89.5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1364.1</v>
      </c>
      <c r="H98" s="57"/>
      <c r="I98" s="59">
        <f t="shared" si="9"/>
        <v>1364.1</v>
      </c>
      <c r="M98" s="59">
        <f t="shared" si="14"/>
        <v>107.4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1591.4499999999998</v>
      </c>
      <c r="H99" s="57"/>
      <c r="I99" s="59">
        <f t="shared" si="9"/>
        <v>1591.4499999999998</v>
      </c>
      <c r="M99" s="59">
        <f t="shared" si="14"/>
        <v>125.30000000000001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1818.7999999999997</v>
      </c>
      <c r="H100" s="57"/>
      <c r="I100" s="59">
        <f t="shared" si="9"/>
        <v>1818.7999999999997</v>
      </c>
      <c r="M100" s="59">
        <f t="shared" si="14"/>
        <v>143.20000000000002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2046.1499999999996</v>
      </c>
      <c r="H101" s="57"/>
      <c r="I101" s="59">
        <f t="shared" si="9"/>
        <v>2046.1499999999996</v>
      </c>
      <c r="M101" s="59">
        <f t="shared" si="14"/>
        <v>161.11000000000001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2273.4999999999995</v>
      </c>
      <c r="H102" s="57"/>
      <c r="I102" s="59">
        <f t="shared" si="9"/>
        <v>2273.4999999999995</v>
      </c>
      <c r="M102" s="59">
        <f t="shared" si="14"/>
        <v>179.02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2500.8499999999995</v>
      </c>
      <c r="H103" s="57"/>
      <c r="I103" s="59">
        <f t="shared" si="9"/>
        <v>2500.8499999999995</v>
      </c>
      <c r="M103" s="59">
        <f t="shared" si="14"/>
        <v>196.93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2728.1999999999994</v>
      </c>
      <c r="H104" s="57"/>
      <c r="I104" s="61">
        <f t="shared" si="9"/>
        <v>2728.1999999999994</v>
      </c>
      <c r="M104" s="61">
        <f t="shared" si="14"/>
        <v>214.84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17733.3</v>
      </c>
      <c r="H105" s="64"/>
      <c r="I105" s="63">
        <f>SUM(I93:I104)</f>
        <v>17733.3</v>
      </c>
      <c r="M105" s="63">
        <f>SUM(M93:M104)</f>
        <v>1396.3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1477.78</v>
      </c>
      <c r="H107" s="64"/>
      <c r="I107" s="66">
        <f>ROUND(+I105/12,2)</f>
        <v>1477.78</v>
      </c>
      <c r="M107" s="66">
        <f>ROUND(+M105/12,2)</f>
        <v>116.36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1477.78</v>
      </c>
      <c r="M110" s="78">
        <f>+M107</f>
        <v>116.36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230</v>
      </c>
      <c r="M112" s="62" t="s">
        <v>231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2.379.00</v>
      </c>
      <c r="D116" s="75"/>
      <c r="E116" s="79">
        <f>E73</f>
        <v>2.7272727272727271E-2</v>
      </c>
      <c r="F116" s="79"/>
      <c r="G116" s="79">
        <f>G73</f>
        <v>2.2727272727272726E-3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F0C9-70D1-4D55-8B7D-E20E0FEF0E7F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5.5" customHeight="1">
      <c r="A3" s="121" t="str">
        <f>'G9BDJ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'G9BDJ Input'!F6</f>
        <v>2022 Flow Computer Rplmt-SD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2022 Flow Computer Rplmt-SD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69:L69"/>
    <mergeCell ref="A70:L70"/>
    <mergeCell ref="A71:L71"/>
    <mergeCell ref="A72:L72"/>
    <mergeCell ref="A73:L73"/>
    <mergeCell ref="A6:L6"/>
    <mergeCell ref="A68:L68"/>
    <mergeCell ref="A1:L1"/>
    <mergeCell ref="A2:L2"/>
    <mergeCell ref="A3:L3"/>
    <mergeCell ref="A4:L4"/>
    <mergeCell ref="A5:L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69CE-5ED4-4FF1-875C-DD5C39D4F386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7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232</v>
      </c>
      <c r="E6" s="34"/>
      <c r="F6" s="127" t="s">
        <v>233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222</v>
      </c>
      <c r="H13" s="5">
        <v>1</v>
      </c>
      <c r="J13" s="42">
        <f>1.5/55</f>
        <v>2.7272727272727271E-2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 t="shared" ref="B15:B25" si="0"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si="0"/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44926</v>
      </c>
    </row>
    <row r="28" spans="1:10">
      <c r="A28" s="36">
        <v>16</v>
      </c>
      <c r="B28" s="34" t="s">
        <v>97</v>
      </c>
      <c r="D28" s="108">
        <v>292053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234</v>
      </c>
    </row>
    <row r="33" spans="2:2">
      <c r="B33" s="44" t="s">
        <v>235</v>
      </c>
    </row>
    <row r="34" spans="2:2">
      <c r="B34" s="44" t="s">
        <v>236</v>
      </c>
    </row>
    <row r="35" spans="2:2">
      <c r="B35" s="44" t="s">
        <v>237</v>
      </c>
    </row>
    <row r="36" spans="2:2">
      <c r="B36" s="44" t="s">
        <v>238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33.75" customHeight="1">
      <c r="A3" s="49" t="str">
        <f>'G9B6U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'G9B6U Input'!F6</f>
        <v>Tea-Sioux Falls Hwy 106 Tie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'G9B6U Input'!B13</f>
        <v>44180</v>
      </c>
      <c r="D15" s="55"/>
      <c r="E15" s="56">
        <f>'G9B6U Input'!D13*'G9B6U Input'!$D$7*'G9B6U Input'!$H$7</f>
        <v>0</v>
      </c>
      <c r="F15" s="57"/>
      <c r="G15" s="56">
        <f>'G9B6U Input'!D27*'G9B6U Input'!D6*'G9B6U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'G9B6U Input'!B14</f>
        <v>44211</v>
      </c>
      <c r="D16" s="55"/>
      <c r="E16" s="58">
        <f>'G9B6U Input'!D14*'G9B6U Input'!$D$7*'G9B6U Input'!$H$7</f>
        <v>0</v>
      </c>
      <c r="F16" s="57"/>
      <c r="G16" s="58">
        <f>'G9B6U Input'!D28*'G9B6U Input'!D7*'G9B6U Input'!H7</f>
        <v>451893</v>
      </c>
      <c r="H16" s="57"/>
      <c r="I16" s="58">
        <f t="shared" si="0"/>
        <v>451893</v>
      </c>
    </row>
    <row r="17" spans="1:10">
      <c r="A17" s="48">
        <f t="shared" si="1"/>
        <v>3</v>
      </c>
      <c r="C17" s="55">
        <f>'G9B6U Input'!B15</f>
        <v>44241</v>
      </c>
      <c r="D17" s="55"/>
      <c r="E17" s="58">
        <f>'G9B6U Input'!D15*'G9B6U Input'!$D$7*'G9B6U Input'!$H$7</f>
        <v>0</v>
      </c>
      <c r="F17" s="57"/>
      <c r="G17" s="59">
        <f t="shared" ref="G17:G27" si="2">$G$16</f>
        <v>451893</v>
      </c>
      <c r="H17" s="57"/>
      <c r="I17" s="59">
        <f t="shared" si="0"/>
        <v>451893</v>
      </c>
      <c r="J17" s="57"/>
    </row>
    <row r="18" spans="1:10">
      <c r="A18" s="48">
        <f t="shared" si="1"/>
        <v>4</v>
      </c>
      <c r="C18" s="55">
        <f>'G9B6U Input'!B16</f>
        <v>44271</v>
      </c>
      <c r="D18" s="55"/>
      <c r="E18" s="58">
        <f>'G9B6U Input'!D16*'G9B6U Input'!$D$7*'G9B6U Input'!$H$7</f>
        <v>0</v>
      </c>
      <c r="F18" s="57"/>
      <c r="G18" s="59">
        <f t="shared" si="2"/>
        <v>451893</v>
      </c>
      <c r="H18" s="57"/>
      <c r="I18" s="59">
        <f t="shared" si="0"/>
        <v>451893</v>
      </c>
      <c r="J18" s="57"/>
    </row>
    <row r="19" spans="1:10">
      <c r="A19" s="48">
        <f t="shared" si="1"/>
        <v>5</v>
      </c>
      <c r="C19" s="55">
        <f>'G9B6U Input'!B17</f>
        <v>44301</v>
      </c>
      <c r="D19" s="55"/>
      <c r="E19" s="58">
        <f>'G9B6U Input'!D17*'G9B6U Input'!$D$7*'G9B6U Input'!$H$7</f>
        <v>0</v>
      </c>
      <c r="F19" s="57"/>
      <c r="G19" s="59">
        <f t="shared" si="2"/>
        <v>451893</v>
      </c>
      <c r="H19" s="57"/>
      <c r="I19" s="59">
        <f t="shared" si="0"/>
        <v>451893</v>
      </c>
      <c r="J19" s="57"/>
    </row>
    <row r="20" spans="1:10">
      <c r="A20" s="48">
        <f t="shared" si="1"/>
        <v>6</v>
      </c>
      <c r="C20" s="55">
        <f>'G9B6U Input'!B18</f>
        <v>44331</v>
      </c>
      <c r="D20" s="55"/>
      <c r="E20" s="58">
        <f>'G9B6U Input'!D18*'G9B6U Input'!$D$7*'G9B6U Input'!$H$7</f>
        <v>0</v>
      </c>
      <c r="F20" s="57"/>
      <c r="G20" s="59">
        <f t="shared" si="2"/>
        <v>451893</v>
      </c>
      <c r="H20" s="57"/>
      <c r="I20" s="59">
        <f t="shared" si="0"/>
        <v>451893</v>
      </c>
      <c r="J20" s="57"/>
    </row>
    <row r="21" spans="1:10">
      <c r="A21" s="48">
        <f t="shared" si="1"/>
        <v>7</v>
      </c>
      <c r="C21" s="55">
        <f>'G9B6U Input'!B19</f>
        <v>44361</v>
      </c>
      <c r="D21" s="55"/>
      <c r="E21" s="58">
        <f>'G9B6U Input'!D19*'G9B6U Input'!$D$7*'G9B6U Input'!$H$7</f>
        <v>0</v>
      </c>
      <c r="F21" s="57"/>
      <c r="G21" s="59">
        <f t="shared" si="2"/>
        <v>451893</v>
      </c>
      <c r="H21" s="57"/>
      <c r="I21" s="59">
        <f t="shared" si="0"/>
        <v>451893</v>
      </c>
      <c r="J21" s="57"/>
    </row>
    <row r="22" spans="1:10">
      <c r="A22" s="48">
        <f t="shared" si="1"/>
        <v>8</v>
      </c>
      <c r="C22" s="55">
        <f>'G9B6U Input'!B20</f>
        <v>44391</v>
      </c>
      <c r="D22" s="55"/>
      <c r="E22" s="58">
        <f>'G9B6U Input'!D20*'G9B6U Input'!$D$7*'G9B6U Input'!$H$7</f>
        <v>0</v>
      </c>
      <c r="F22" s="57"/>
      <c r="G22" s="59">
        <f t="shared" si="2"/>
        <v>451893</v>
      </c>
      <c r="H22" s="57"/>
      <c r="I22" s="59">
        <f t="shared" si="0"/>
        <v>451893</v>
      </c>
      <c r="J22" s="57"/>
    </row>
    <row r="23" spans="1:10">
      <c r="A23" s="48">
        <f t="shared" si="1"/>
        <v>9</v>
      </c>
      <c r="C23" s="55">
        <f>'G9B6U Input'!B21</f>
        <v>44421</v>
      </c>
      <c r="D23" s="55"/>
      <c r="E23" s="58">
        <f>'G9B6U Input'!D21*'G9B6U Input'!$D$7*'G9B6U Input'!$H$7</f>
        <v>0</v>
      </c>
      <c r="F23" s="57"/>
      <c r="G23" s="59">
        <f t="shared" si="2"/>
        <v>451893</v>
      </c>
      <c r="H23" s="57"/>
      <c r="I23" s="59">
        <f t="shared" si="0"/>
        <v>451893</v>
      </c>
      <c r="J23" s="57"/>
    </row>
    <row r="24" spans="1:10">
      <c r="A24" s="48">
        <f t="shared" si="1"/>
        <v>10</v>
      </c>
      <c r="C24" s="55">
        <f>'G9B6U Input'!B22</f>
        <v>44451</v>
      </c>
      <c r="D24" s="55"/>
      <c r="E24" s="58">
        <f>'G9B6U Input'!D22*'G9B6U Input'!$D$7*'G9B6U Input'!$H$7</f>
        <v>0</v>
      </c>
      <c r="F24" s="57"/>
      <c r="G24" s="59">
        <f t="shared" si="2"/>
        <v>451893</v>
      </c>
      <c r="H24" s="57"/>
      <c r="I24" s="59">
        <f t="shared" si="0"/>
        <v>451893</v>
      </c>
      <c r="J24" s="57"/>
    </row>
    <row r="25" spans="1:10">
      <c r="A25" s="48">
        <f t="shared" si="1"/>
        <v>11</v>
      </c>
      <c r="C25" s="55">
        <f>'G9B6U Input'!B23</f>
        <v>44481</v>
      </c>
      <c r="D25" s="55"/>
      <c r="E25" s="58">
        <f>'G9B6U Input'!D23*'G9B6U Input'!$D$7*'G9B6U Input'!$H$7</f>
        <v>0</v>
      </c>
      <c r="F25" s="57"/>
      <c r="G25" s="59">
        <f t="shared" si="2"/>
        <v>451893</v>
      </c>
      <c r="H25" s="57"/>
      <c r="I25" s="59">
        <f t="shared" si="0"/>
        <v>451893</v>
      </c>
      <c r="J25" s="57"/>
    </row>
    <row r="26" spans="1:10">
      <c r="A26" s="48">
        <f t="shared" si="1"/>
        <v>12</v>
      </c>
      <c r="C26" s="55">
        <f>'G9B6U Input'!B24</f>
        <v>44511</v>
      </c>
      <c r="D26" s="55"/>
      <c r="E26" s="58">
        <f>'G9B6U Input'!D24*'G9B6U Input'!$D$7*'G9B6U Input'!$H$7</f>
        <v>0</v>
      </c>
      <c r="F26" s="57"/>
      <c r="G26" s="59">
        <f t="shared" si="2"/>
        <v>451893</v>
      </c>
      <c r="H26" s="57"/>
      <c r="I26" s="59">
        <f t="shared" si="0"/>
        <v>451893</v>
      </c>
      <c r="J26" s="57"/>
    </row>
    <row r="27" spans="1:10">
      <c r="A27" s="48">
        <f t="shared" si="1"/>
        <v>13</v>
      </c>
      <c r="C27" s="55">
        <f>'G9B6U Input'!B25</f>
        <v>44541</v>
      </c>
      <c r="D27" s="55"/>
      <c r="E27" s="60">
        <f>'G9B6U Input'!D25*'G9B6U Input'!$D$7*'G9B6U Input'!$H$7</f>
        <v>0</v>
      </c>
      <c r="F27" s="57"/>
      <c r="G27" s="61">
        <f t="shared" si="2"/>
        <v>451893</v>
      </c>
      <c r="H27" s="57"/>
      <c r="I27" s="61">
        <f t="shared" si="0"/>
        <v>451893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5422716</v>
      </c>
      <c r="H28" s="64"/>
      <c r="I28" s="63">
        <f>SUM(I16:I27)</f>
        <v>5422716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451893</v>
      </c>
      <c r="H30" s="64"/>
      <c r="I30" s="66">
        <f>ROUND(+I28/12,2)</f>
        <v>451893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451893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&amp;C&amp;8MidAmerican Exhibit ASR 1.1, WP C
Page &amp;P of &amp;N</oddFooter>
  </headerFooter>
  <rowBreaks count="2" manualBreakCount="2">
    <brk id="38" max="16383" man="1"/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E48D-73E9-44F2-B69B-544FD2D1C119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 ht="28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'G9BDH Input'!F6</f>
        <v>2022 Odorizer Replacement - SD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'G9BDH Input'!B13</f>
        <v>44180</v>
      </c>
      <c r="D15" s="55"/>
      <c r="E15" s="56">
        <f>'G9BDH Input'!D13*'G9BDH Input'!$D$7*'G9BDH Input'!$H$7</f>
        <v>0</v>
      </c>
      <c r="F15" s="57"/>
      <c r="G15" s="56">
        <f>'G9BDH Input'!D27*'G9BDH Input'!D6*'G9BDH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'G9BDH Input'!B14</f>
        <v>44211</v>
      </c>
      <c r="D16" s="55"/>
      <c r="E16" s="58">
        <f>'G9BDH Input'!D14*'G9BDH Input'!$D$7*'G9BDH Input'!$H$7</f>
        <v>0</v>
      </c>
      <c r="F16" s="57"/>
      <c r="G16" s="58">
        <f>'G9BDH Input'!D28*'G9BDH Input'!D7*'G9BDH Input'!H7</f>
        <v>292053</v>
      </c>
      <c r="H16" s="57"/>
      <c r="I16" s="58">
        <f t="shared" si="0"/>
        <v>292053</v>
      </c>
    </row>
    <row r="17" spans="1:10">
      <c r="A17" s="48">
        <f t="shared" si="1"/>
        <v>3</v>
      </c>
      <c r="C17" s="55">
        <f>'G9BDH Input'!B15</f>
        <v>44241</v>
      </c>
      <c r="D17" s="55"/>
      <c r="E17" s="58">
        <f>'G9BDH Input'!D15*'G9BDH Input'!$D$7*'G9BDH Input'!$H$7</f>
        <v>0</v>
      </c>
      <c r="F17" s="57"/>
      <c r="G17" s="59">
        <f t="shared" ref="G17:G27" si="2">$G$16</f>
        <v>292053</v>
      </c>
      <c r="H17" s="57"/>
      <c r="I17" s="59">
        <f t="shared" si="0"/>
        <v>292053</v>
      </c>
      <c r="J17" s="57"/>
    </row>
    <row r="18" spans="1:10">
      <c r="A18" s="48">
        <f t="shared" si="1"/>
        <v>4</v>
      </c>
      <c r="C18" s="55">
        <f>'G9BDH Input'!B16</f>
        <v>44271</v>
      </c>
      <c r="D18" s="55"/>
      <c r="E18" s="58">
        <f>'G9BDH Input'!D16*'G9BDH Input'!$D$7*'G9BDH Input'!$H$7</f>
        <v>0</v>
      </c>
      <c r="F18" s="57"/>
      <c r="G18" s="59">
        <f t="shared" si="2"/>
        <v>292053</v>
      </c>
      <c r="H18" s="57"/>
      <c r="I18" s="59">
        <f t="shared" si="0"/>
        <v>292053</v>
      </c>
      <c r="J18" s="57"/>
    </row>
    <row r="19" spans="1:10">
      <c r="A19" s="48">
        <f t="shared" si="1"/>
        <v>5</v>
      </c>
      <c r="C19" s="55">
        <f>'G9BDH Input'!B17</f>
        <v>44301</v>
      </c>
      <c r="D19" s="55"/>
      <c r="E19" s="58">
        <f>'G9BDH Input'!D17*'G9BDH Input'!$D$7*'G9BDH Input'!$H$7</f>
        <v>0</v>
      </c>
      <c r="F19" s="57"/>
      <c r="G19" s="59">
        <f t="shared" si="2"/>
        <v>292053</v>
      </c>
      <c r="H19" s="57"/>
      <c r="I19" s="59">
        <f t="shared" si="0"/>
        <v>292053</v>
      </c>
      <c r="J19" s="57"/>
    </row>
    <row r="20" spans="1:10">
      <c r="A20" s="48">
        <f t="shared" si="1"/>
        <v>6</v>
      </c>
      <c r="C20" s="55">
        <f>'G9BDH Input'!B18</f>
        <v>44331</v>
      </c>
      <c r="D20" s="55"/>
      <c r="E20" s="58">
        <f>'G9BDH Input'!D18*'G9BDH Input'!$D$7*'G9BDH Input'!$H$7</f>
        <v>0</v>
      </c>
      <c r="F20" s="57"/>
      <c r="G20" s="59">
        <f t="shared" si="2"/>
        <v>292053</v>
      </c>
      <c r="H20" s="57"/>
      <c r="I20" s="59">
        <f t="shared" si="0"/>
        <v>292053</v>
      </c>
      <c r="J20" s="57"/>
    </row>
    <row r="21" spans="1:10">
      <c r="A21" s="48">
        <f t="shared" si="1"/>
        <v>7</v>
      </c>
      <c r="C21" s="55">
        <f>'G9BDH Input'!B19</f>
        <v>44361</v>
      </c>
      <c r="D21" s="55"/>
      <c r="E21" s="58">
        <f>'G9BDH Input'!D19*'G9BDH Input'!$D$7*'G9BDH Input'!$H$7</f>
        <v>0</v>
      </c>
      <c r="F21" s="57"/>
      <c r="G21" s="59">
        <f t="shared" si="2"/>
        <v>292053</v>
      </c>
      <c r="H21" s="57"/>
      <c r="I21" s="59">
        <f t="shared" si="0"/>
        <v>292053</v>
      </c>
      <c r="J21" s="57"/>
    </row>
    <row r="22" spans="1:10">
      <c r="A22" s="48">
        <f t="shared" si="1"/>
        <v>8</v>
      </c>
      <c r="C22" s="55">
        <f>'G9BDH Input'!B20</f>
        <v>44391</v>
      </c>
      <c r="D22" s="55"/>
      <c r="E22" s="58">
        <f>'G9BDH Input'!D20*'G9BDH Input'!$D$7*'G9BDH Input'!$H$7</f>
        <v>0</v>
      </c>
      <c r="F22" s="57"/>
      <c r="G22" s="59">
        <f t="shared" si="2"/>
        <v>292053</v>
      </c>
      <c r="H22" s="57"/>
      <c r="I22" s="59">
        <f t="shared" si="0"/>
        <v>292053</v>
      </c>
      <c r="J22" s="57"/>
    </row>
    <row r="23" spans="1:10">
      <c r="A23" s="48">
        <f t="shared" si="1"/>
        <v>9</v>
      </c>
      <c r="C23" s="55">
        <f>'G9BDH Input'!B21</f>
        <v>44421</v>
      </c>
      <c r="D23" s="55"/>
      <c r="E23" s="58">
        <f>'G9BDH Input'!D21*'G9BDH Input'!$D$7*'G9BDH Input'!$H$7</f>
        <v>0</v>
      </c>
      <c r="F23" s="57"/>
      <c r="G23" s="59">
        <f t="shared" si="2"/>
        <v>292053</v>
      </c>
      <c r="H23" s="57"/>
      <c r="I23" s="59">
        <f t="shared" si="0"/>
        <v>292053</v>
      </c>
      <c r="J23" s="57"/>
    </row>
    <row r="24" spans="1:10">
      <c r="A24" s="48">
        <f t="shared" si="1"/>
        <v>10</v>
      </c>
      <c r="C24" s="55">
        <f>'G9BDH Input'!B22</f>
        <v>44451</v>
      </c>
      <c r="D24" s="55"/>
      <c r="E24" s="58">
        <f>'G9BDH Input'!D22*'G9BDH Input'!$D$7*'G9BDH Input'!$H$7</f>
        <v>0</v>
      </c>
      <c r="F24" s="57"/>
      <c r="G24" s="59">
        <f t="shared" si="2"/>
        <v>292053</v>
      </c>
      <c r="H24" s="57"/>
      <c r="I24" s="59">
        <f t="shared" si="0"/>
        <v>292053</v>
      </c>
      <c r="J24" s="57"/>
    </row>
    <row r="25" spans="1:10">
      <c r="A25" s="48">
        <f t="shared" si="1"/>
        <v>11</v>
      </c>
      <c r="C25" s="55">
        <f>'G9BDH Input'!B23</f>
        <v>44481</v>
      </c>
      <c r="D25" s="55"/>
      <c r="E25" s="58">
        <f>'G9BDH Input'!D23*'G9BDH Input'!$D$7*'G9BDH Input'!$H$7</f>
        <v>0</v>
      </c>
      <c r="F25" s="57"/>
      <c r="G25" s="59">
        <f t="shared" si="2"/>
        <v>292053</v>
      </c>
      <c r="H25" s="57"/>
      <c r="I25" s="59">
        <f t="shared" si="0"/>
        <v>292053</v>
      </c>
      <c r="J25" s="57"/>
    </row>
    <row r="26" spans="1:10">
      <c r="A26" s="48">
        <f t="shared" si="1"/>
        <v>12</v>
      </c>
      <c r="C26" s="55">
        <f>'G9BDH Input'!B24</f>
        <v>44511</v>
      </c>
      <c r="D26" s="55"/>
      <c r="E26" s="58">
        <f>'G9BDH Input'!D24*'G9BDH Input'!$D$7*'G9BDH Input'!$H$7</f>
        <v>0</v>
      </c>
      <c r="F26" s="57"/>
      <c r="G26" s="59">
        <f t="shared" si="2"/>
        <v>292053</v>
      </c>
      <c r="H26" s="57"/>
      <c r="I26" s="59">
        <f t="shared" si="0"/>
        <v>292053</v>
      </c>
      <c r="J26" s="57"/>
    </row>
    <row r="27" spans="1:10">
      <c r="A27" s="48">
        <f t="shared" si="1"/>
        <v>13</v>
      </c>
      <c r="C27" s="55">
        <f>'G9BDH Input'!B25</f>
        <v>44541</v>
      </c>
      <c r="D27" s="55"/>
      <c r="E27" s="60">
        <f>'G9BDH Input'!D25*'G9BDH Input'!$D$7*'G9BDH Input'!$H$7</f>
        <v>0</v>
      </c>
      <c r="F27" s="57"/>
      <c r="G27" s="61">
        <f t="shared" si="2"/>
        <v>292053</v>
      </c>
      <c r="H27" s="57"/>
      <c r="I27" s="61">
        <f t="shared" si="0"/>
        <v>292053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3504636</v>
      </c>
      <c r="H28" s="64"/>
      <c r="I28" s="63">
        <f>SUM(I16:I27)</f>
        <v>3504636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292053</v>
      </c>
      <c r="H30" s="64"/>
      <c r="I30" s="66">
        <f>ROUND(+I28/12,2)</f>
        <v>292053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292053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5">
    <mergeCell ref="A6:I6"/>
    <mergeCell ref="A1:J1"/>
    <mergeCell ref="A2:J2"/>
    <mergeCell ref="A3:J3"/>
    <mergeCell ref="A4:J4"/>
  </mergeCells>
  <pageMargins left="0.75" right="0.75" top="1" bottom="1" header="0.5" footer="0.5"/>
  <pageSetup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E34A-C69A-4726-9384-9B149C8EEE54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5.570312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2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2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'G9BDH Input'!F6</f>
        <v>2022 Odorizer Replacement - SD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'G9BDH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"&amp;'G9BDH Input'!F13</f>
        <v>Acct 2.379.00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'G9BDH TotalWO'!C15</f>
        <v>44180</v>
      </c>
      <c r="D15" s="55"/>
      <c r="E15" s="56">
        <f>'G9BDH TotalWO'!E15*'G9BDH Input'!$H$13</f>
        <v>0</v>
      </c>
      <c r="F15" s="68"/>
      <c r="G15" s="56">
        <f>'G9BDH TotalWO'!G15*'G9BDH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'G9BDH TotalWO'!C16</f>
        <v>44211</v>
      </c>
      <c r="D16" s="55"/>
      <c r="E16" s="58">
        <f>'G9BDH TotalWO'!E16*'G9BDH Input'!$H$13</f>
        <v>0</v>
      </c>
      <c r="F16" s="68"/>
      <c r="G16" s="58">
        <f>'G9BDH TotalWO'!G16*'G9BDH Input'!$H$13</f>
        <v>292053</v>
      </c>
      <c r="H16" s="59"/>
      <c r="I16" s="58">
        <f t="shared" si="0"/>
        <v>292053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'G9BDH TotalWO'!E17*'G9BDH Input'!$H$13</f>
        <v>0</v>
      </c>
      <c r="F17" s="68"/>
      <c r="G17" s="68">
        <f>'G9BDH TotalWO'!G17*'G9BDH Input'!$H$13</f>
        <v>292053</v>
      </c>
      <c r="H17" s="59"/>
      <c r="I17" s="59">
        <f t="shared" si="0"/>
        <v>292053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'G9BDH TotalWO'!E18*'G9BDH Input'!$H$13</f>
        <v>0</v>
      </c>
      <c r="F18" s="68"/>
      <c r="G18" s="68">
        <f>'G9BDH TotalWO'!G18*'G9BDH Input'!$H$13</f>
        <v>292053</v>
      </c>
      <c r="H18" s="59"/>
      <c r="I18" s="59">
        <f t="shared" si="0"/>
        <v>292053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'G9BDH TotalWO'!E19*'G9BDH Input'!$H$13</f>
        <v>0</v>
      </c>
      <c r="F19" s="68"/>
      <c r="G19" s="68">
        <f>'G9BDH TotalWO'!G19*'G9BDH Input'!$H$13</f>
        <v>292053</v>
      </c>
      <c r="H19" s="59"/>
      <c r="I19" s="59">
        <f t="shared" si="0"/>
        <v>292053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'G9BDH TotalWO'!E20*'G9BDH Input'!$H$13</f>
        <v>0</v>
      </c>
      <c r="F20" s="68"/>
      <c r="G20" s="68">
        <f>'G9BDH TotalWO'!G20*'G9BDH Input'!$H$13</f>
        <v>292053</v>
      </c>
      <c r="H20" s="59"/>
      <c r="I20" s="59">
        <f t="shared" si="0"/>
        <v>292053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'G9BDH TotalWO'!E21*'G9BDH Input'!$H$13</f>
        <v>0</v>
      </c>
      <c r="F21" s="68"/>
      <c r="G21" s="68">
        <f>'G9BDH TotalWO'!G21*'G9BDH Input'!$H$13</f>
        <v>292053</v>
      </c>
      <c r="H21" s="59"/>
      <c r="I21" s="59">
        <f t="shared" si="0"/>
        <v>292053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'G9BDH TotalWO'!E22*'G9BDH Input'!$H$13</f>
        <v>0</v>
      </c>
      <c r="F22" s="68"/>
      <c r="G22" s="68">
        <f>'G9BDH TotalWO'!G22*'G9BDH Input'!$H$13</f>
        <v>292053</v>
      </c>
      <c r="H22" s="59"/>
      <c r="I22" s="59">
        <f t="shared" si="0"/>
        <v>292053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'G9BDH TotalWO'!E23*'G9BDH Input'!$H$13</f>
        <v>0</v>
      </c>
      <c r="F23" s="68"/>
      <c r="G23" s="68">
        <f>'G9BDH TotalWO'!G23*'G9BDH Input'!$H$13</f>
        <v>292053</v>
      </c>
      <c r="H23" s="59"/>
      <c r="I23" s="59">
        <f t="shared" si="0"/>
        <v>292053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'G9BDH TotalWO'!E24*'G9BDH Input'!$H$13</f>
        <v>0</v>
      </c>
      <c r="F24" s="68"/>
      <c r="G24" s="68">
        <f>'G9BDH TotalWO'!G24*'G9BDH Input'!$H$13</f>
        <v>292053</v>
      </c>
      <c r="H24" s="59"/>
      <c r="I24" s="59">
        <f t="shared" si="0"/>
        <v>292053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'G9BDH TotalWO'!E25*'G9BDH Input'!$H$13</f>
        <v>0</v>
      </c>
      <c r="F25" s="68"/>
      <c r="G25" s="68">
        <f>'G9BDH TotalWO'!G25*'G9BDH Input'!$H$13</f>
        <v>292053</v>
      </c>
      <c r="H25" s="59"/>
      <c r="I25" s="59">
        <f t="shared" si="0"/>
        <v>292053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'G9BDH TotalWO'!E26*'G9BDH Input'!$H$13</f>
        <v>0</v>
      </c>
      <c r="F26" s="68"/>
      <c r="G26" s="68">
        <f>'G9BDH TotalWO'!G26*'G9BDH Input'!$H$13</f>
        <v>292053</v>
      </c>
      <c r="H26" s="59"/>
      <c r="I26" s="59">
        <f t="shared" si="0"/>
        <v>292053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'G9BDH TotalWO'!E27*'G9BDH Input'!$H$13</f>
        <v>0</v>
      </c>
      <c r="F27" s="68"/>
      <c r="G27" s="71">
        <f>'G9BDH TotalWO'!G27*'G9BDH Input'!$H$13</f>
        <v>292053</v>
      </c>
      <c r="H27" s="59"/>
      <c r="I27" s="61">
        <f t="shared" si="0"/>
        <v>292053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3504636</v>
      </c>
      <c r="H28" s="64"/>
      <c r="I28" s="63">
        <f>SUM(I16:I27)</f>
        <v>3504636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292053</v>
      </c>
      <c r="H30" s="64"/>
      <c r="I30" s="66">
        <f>ROUND(+I28/12,2)</f>
        <v>292053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292053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239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2022 Odorizer Replacement - SD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2.379.00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663.76</v>
      </c>
      <c r="H53" s="64"/>
      <c r="I53" s="63">
        <f t="shared" ref="I53:I64" si="4">G53-E53</f>
        <v>663.76</v>
      </c>
      <c r="K53" s="58"/>
      <c r="M53" s="63">
        <f t="shared" ref="M53:M63" si="5">+ROUND(I53/I$67*M$67,2)</f>
        <v>52.27</v>
      </c>
    </row>
    <row r="54" spans="1:13">
      <c r="A54" s="48">
        <f t="shared" ref="A54:A77" si="6">1+A53</f>
        <v>2</v>
      </c>
      <c r="C54" s="55">
        <f t="shared" ref="C54:C64" si="7">C53+31</f>
        <v>44242</v>
      </c>
      <c r="D54" s="55"/>
      <c r="E54" s="68">
        <f t="shared" si="3"/>
        <v>0</v>
      </c>
      <c r="F54" s="72"/>
      <c r="G54" s="68">
        <f t="shared" ref="G54:G64" si="8">ROUND(+G16*$G$73,2)</f>
        <v>663.76</v>
      </c>
      <c r="H54" s="57"/>
      <c r="I54" s="59">
        <f t="shared" si="4"/>
        <v>663.76</v>
      </c>
      <c r="M54" s="59">
        <f t="shared" si="5"/>
        <v>52.27</v>
      </c>
    </row>
    <row r="55" spans="1:13">
      <c r="A55" s="48">
        <f t="shared" si="6"/>
        <v>3</v>
      </c>
      <c r="C55" s="55">
        <f t="shared" si="7"/>
        <v>44273</v>
      </c>
      <c r="D55" s="55"/>
      <c r="E55" s="68">
        <f t="shared" si="3"/>
        <v>0</v>
      </c>
      <c r="F55" s="72"/>
      <c r="G55" s="68">
        <f t="shared" si="8"/>
        <v>663.76</v>
      </c>
      <c r="H55" s="57"/>
      <c r="I55" s="59">
        <f t="shared" si="4"/>
        <v>663.76</v>
      </c>
      <c r="M55" s="59">
        <f t="shared" si="5"/>
        <v>52.27</v>
      </c>
    </row>
    <row r="56" spans="1:13">
      <c r="A56" s="48">
        <f t="shared" si="6"/>
        <v>4</v>
      </c>
      <c r="C56" s="55">
        <f t="shared" si="7"/>
        <v>44304</v>
      </c>
      <c r="D56" s="55"/>
      <c r="E56" s="68">
        <f t="shared" si="3"/>
        <v>0</v>
      </c>
      <c r="F56" s="72"/>
      <c r="G56" s="68">
        <f t="shared" si="8"/>
        <v>663.76</v>
      </c>
      <c r="H56" s="57"/>
      <c r="I56" s="59">
        <f t="shared" si="4"/>
        <v>663.76</v>
      </c>
      <c r="M56" s="59">
        <f t="shared" si="5"/>
        <v>52.27</v>
      </c>
    </row>
    <row r="57" spans="1:13">
      <c r="A57" s="48">
        <f t="shared" si="6"/>
        <v>5</v>
      </c>
      <c r="C57" s="55">
        <f t="shared" si="7"/>
        <v>44335</v>
      </c>
      <c r="D57" s="55"/>
      <c r="E57" s="68">
        <f t="shared" si="3"/>
        <v>0</v>
      </c>
      <c r="F57" s="72"/>
      <c r="G57" s="68">
        <f t="shared" si="8"/>
        <v>663.76</v>
      </c>
      <c r="H57" s="57"/>
      <c r="I57" s="59">
        <f t="shared" si="4"/>
        <v>663.76</v>
      </c>
      <c r="M57" s="59">
        <f t="shared" si="5"/>
        <v>52.27</v>
      </c>
    </row>
    <row r="58" spans="1:13">
      <c r="A58" s="48">
        <f t="shared" si="6"/>
        <v>6</v>
      </c>
      <c r="C58" s="55">
        <f t="shared" si="7"/>
        <v>44366</v>
      </c>
      <c r="D58" s="55"/>
      <c r="E58" s="68">
        <f t="shared" si="3"/>
        <v>0</v>
      </c>
      <c r="F58" s="72"/>
      <c r="G58" s="68">
        <f t="shared" si="8"/>
        <v>663.76</v>
      </c>
      <c r="H58" s="57"/>
      <c r="I58" s="59">
        <f t="shared" si="4"/>
        <v>663.76</v>
      </c>
      <c r="M58" s="59">
        <f t="shared" si="5"/>
        <v>52.27</v>
      </c>
    </row>
    <row r="59" spans="1:13">
      <c r="A59" s="48">
        <f t="shared" si="6"/>
        <v>7</v>
      </c>
      <c r="C59" s="55">
        <f t="shared" si="7"/>
        <v>44397</v>
      </c>
      <c r="D59" s="55"/>
      <c r="E59" s="68">
        <f t="shared" si="3"/>
        <v>0</v>
      </c>
      <c r="F59" s="72"/>
      <c r="G59" s="68">
        <f t="shared" si="8"/>
        <v>663.76</v>
      </c>
      <c r="H59" s="57"/>
      <c r="I59" s="59">
        <f t="shared" si="4"/>
        <v>663.76</v>
      </c>
      <c r="M59" s="59">
        <f t="shared" si="5"/>
        <v>52.27</v>
      </c>
    </row>
    <row r="60" spans="1:13">
      <c r="A60" s="48">
        <f t="shared" si="6"/>
        <v>8</v>
      </c>
      <c r="C60" s="55">
        <f t="shared" si="7"/>
        <v>44428</v>
      </c>
      <c r="D60" s="55"/>
      <c r="E60" s="68">
        <f t="shared" si="3"/>
        <v>0</v>
      </c>
      <c r="F60" s="72"/>
      <c r="G60" s="68">
        <f t="shared" si="8"/>
        <v>663.76</v>
      </c>
      <c r="H60" s="57"/>
      <c r="I60" s="59">
        <f t="shared" si="4"/>
        <v>663.76</v>
      </c>
      <c r="M60" s="59">
        <f t="shared" si="5"/>
        <v>52.27</v>
      </c>
    </row>
    <row r="61" spans="1:13">
      <c r="A61" s="48">
        <f t="shared" si="6"/>
        <v>9</v>
      </c>
      <c r="C61" s="55">
        <f t="shared" si="7"/>
        <v>44459</v>
      </c>
      <c r="D61" s="55"/>
      <c r="E61" s="68">
        <f t="shared" si="3"/>
        <v>0</v>
      </c>
      <c r="F61" s="72"/>
      <c r="G61" s="68">
        <f t="shared" si="8"/>
        <v>663.76</v>
      </c>
      <c r="H61" s="57"/>
      <c r="I61" s="59">
        <f t="shared" si="4"/>
        <v>663.76</v>
      </c>
      <c r="M61" s="59">
        <f t="shared" si="5"/>
        <v>52.27</v>
      </c>
    </row>
    <row r="62" spans="1:13">
      <c r="A62" s="48">
        <f t="shared" si="6"/>
        <v>10</v>
      </c>
      <c r="C62" s="55">
        <f t="shared" si="7"/>
        <v>44490</v>
      </c>
      <c r="D62" s="55"/>
      <c r="E62" s="68">
        <f t="shared" si="3"/>
        <v>0</v>
      </c>
      <c r="F62" s="72"/>
      <c r="G62" s="68">
        <f t="shared" si="8"/>
        <v>663.76</v>
      </c>
      <c r="H62" s="57"/>
      <c r="I62" s="59">
        <f t="shared" si="4"/>
        <v>663.76</v>
      </c>
      <c r="M62" s="59">
        <f t="shared" si="5"/>
        <v>52.27</v>
      </c>
    </row>
    <row r="63" spans="1:13">
      <c r="A63" s="48">
        <f t="shared" si="6"/>
        <v>11</v>
      </c>
      <c r="C63" s="55">
        <f t="shared" si="7"/>
        <v>44521</v>
      </c>
      <c r="D63" s="55"/>
      <c r="E63" s="68">
        <f t="shared" si="3"/>
        <v>0</v>
      </c>
      <c r="F63" s="72"/>
      <c r="G63" s="68">
        <f t="shared" si="8"/>
        <v>663.76</v>
      </c>
      <c r="H63" s="57"/>
      <c r="I63" s="59">
        <f t="shared" si="4"/>
        <v>663.76</v>
      </c>
      <c r="M63" s="59">
        <f t="shared" si="5"/>
        <v>52.27</v>
      </c>
    </row>
    <row r="64" spans="1:13">
      <c r="A64" s="48">
        <f t="shared" si="6"/>
        <v>12</v>
      </c>
      <c r="C64" s="55">
        <f t="shared" si="7"/>
        <v>44552</v>
      </c>
      <c r="D64" s="55"/>
      <c r="E64" s="71">
        <f t="shared" si="3"/>
        <v>0</v>
      </c>
      <c r="F64" s="72"/>
      <c r="G64" s="71">
        <f t="shared" si="8"/>
        <v>663.76</v>
      </c>
      <c r="H64" s="57"/>
      <c r="I64" s="61">
        <f t="shared" si="4"/>
        <v>663.76</v>
      </c>
      <c r="M64" s="61">
        <f>+ROUND(I64/I$67*M$67,2)+0.01</f>
        <v>52.28</v>
      </c>
    </row>
    <row r="65" spans="1:13">
      <c r="A65" s="48">
        <f t="shared" si="6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7965.1200000000017</v>
      </c>
      <c r="H65" s="64"/>
      <c r="I65" s="63">
        <f>SUM(I53:I64)</f>
        <v>7965.1200000000017</v>
      </c>
      <c r="M65" s="63">
        <f>SUM(M53:M64)</f>
        <v>627.24999999999989</v>
      </c>
    </row>
    <row r="66" spans="1:13">
      <c r="A66" s="48">
        <f t="shared" si="6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6"/>
        <v>15</v>
      </c>
      <c r="C67" s="62" t="s">
        <v>116</v>
      </c>
      <c r="D67" s="62"/>
      <c r="E67" s="64"/>
      <c r="F67" s="64"/>
      <c r="G67" s="64"/>
      <c r="H67" s="64"/>
      <c r="I67" s="66">
        <f>I65</f>
        <v>7965.1200000000017</v>
      </c>
      <c r="K67" s="66">
        <f>ROUND(G16*K73,2)</f>
        <v>10951.99</v>
      </c>
      <c r="M67" s="66">
        <f>ROUND(+(K67-I67)*M73,2)</f>
        <v>627.24</v>
      </c>
    </row>
    <row r="68" spans="1:13" ht="12" thickTop="1">
      <c r="A68" s="48">
        <f t="shared" si="6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6"/>
        <v>17</v>
      </c>
      <c r="I69" s="62" t="s">
        <v>240</v>
      </c>
      <c r="M69" s="54" t="s">
        <v>120</v>
      </c>
    </row>
    <row r="70" spans="1:13">
      <c r="A70" s="48">
        <f t="shared" si="6"/>
        <v>18</v>
      </c>
      <c r="K70" s="54" t="s">
        <v>126</v>
      </c>
      <c r="M70" s="54" t="s">
        <v>127</v>
      </c>
    </row>
    <row r="71" spans="1:13">
      <c r="A71" s="48">
        <f t="shared" si="6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6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6"/>
        <v>21</v>
      </c>
      <c r="C73" s="75" t="str">
        <f>E49</f>
        <v>Acct 2.379.00</v>
      </c>
      <c r="D73" s="75"/>
      <c r="E73" s="76">
        <f>'G9BDH Input'!J13</f>
        <v>2.7272727272727271E-2</v>
      </c>
      <c r="F73" s="76"/>
      <c r="G73" s="76">
        <f>E73/12</f>
        <v>2.2727272727272726E-3</v>
      </c>
      <c r="K73" s="86">
        <f>+'G9BDH Input'!L13</f>
        <v>3.7499999999999999E-2</v>
      </c>
      <c r="M73" s="86">
        <f>+'G9BDH Input'!N13</f>
        <v>0.21</v>
      </c>
    </row>
    <row r="74" spans="1:13">
      <c r="A74" s="48">
        <f t="shared" si="6"/>
        <v>22</v>
      </c>
      <c r="H74" s="67"/>
      <c r="I74" s="57"/>
      <c r="K74" s="54" t="s">
        <v>135</v>
      </c>
    </row>
    <row r="75" spans="1:13">
      <c r="A75" s="48">
        <f t="shared" si="6"/>
        <v>23</v>
      </c>
      <c r="H75" s="76"/>
      <c r="I75" s="57"/>
    </row>
    <row r="76" spans="1:13">
      <c r="A76" s="48">
        <f t="shared" si="6"/>
        <v>24</v>
      </c>
    </row>
    <row r="77" spans="1:13">
      <c r="A77" s="48">
        <f t="shared" si="6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2022 Odorizer Replacement - SD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2.379.00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663.76</v>
      </c>
      <c r="H93" s="57"/>
      <c r="I93" s="58">
        <f t="shared" si="9"/>
        <v>663.76</v>
      </c>
      <c r="M93" s="58">
        <f>+M53</f>
        <v>52.27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1327.52</v>
      </c>
      <c r="H94" s="57"/>
      <c r="I94" s="59">
        <f t="shared" si="9"/>
        <v>1327.52</v>
      </c>
      <c r="M94" s="59">
        <f t="shared" ref="M94:M104" si="14">+M93+M54</f>
        <v>104.54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1991.28</v>
      </c>
      <c r="H95" s="57"/>
      <c r="I95" s="59">
        <f t="shared" si="9"/>
        <v>1991.28</v>
      </c>
      <c r="M95" s="59">
        <f t="shared" si="14"/>
        <v>156.81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2655.04</v>
      </c>
      <c r="H96" s="57"/>
      <c r="I96" s="59">
        <f t="shared" si="9"/>
        <v>2655.04</v>
      </c>
      <c r="M96" s="59">
        <f t="shared" si="14"/>
        <v>209.08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3318.8</v>
      </c>
      <c r="H97" s="57"/>
      <c r="I97" s="59">
        <f t="shared" si="9"/>
        <v>3318.8</v>
      </c>
      <c r="M97" s="59">
        <f t="shared" si="14"/>
        <v>261.35000000000002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3982.5600000000004</v>
      </c>
      <c r="H98" s="57"/>
      <c r="I98" s="59">
        <f t="shared" si="9"/>
        <v>3982.5600000000004</v>
      </c>
      <c r="M98" s="59">
        <f t="shared" si="14"/>
        <v>313.62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4646.3200000000006</v>
      </c>
      <c r="H99" s="57"/>
      <c r="I99" s="59">
        <f t="shared" si="9"/>
        <v>4646.3200000000006</v>
      </c>
      <c r="M99" s="59">
        <f t="shared" si="14"/>
        <v>365.89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5310.0800000000008</v>
      </c>
      <c r="H100" s="57"/>
      <c r="I100" s="59">
        <f t="shared" si="9"/>
        <v>5310.0800000000008</v>
      </c>
      <c r="M100" s="59">
        <f t="shared" si="14"/>
        <v>418.15999999999997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5973.8400000000011</v>
      </c>
      <c r="H101" s="57"/>
      <c r="I101" s="59">
        <f t="shared" si="9"/>
        <v>5973.8400000000011</v>
      </c>
      <c r="M101" s="59">
        <f t="shared" si="14"/>
        <v>470.42999999999995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6637.6000000000013</v>
      </c>
      <c r="H102" s="57"/>
      <c r="I102" s="59">
        <f t="shared" si="9"/>
        <v>6637.6000000000013</v>
      </c>
      <c r="M102" s="59">
        <f t="shared" si="14"/>
        <v>522.69999999999993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7301.3600000000015</v>
      </c>
      <c r="H103" s="57"/>
      <c r="I103" s="59">
        <f t="shared" si="9"/>
        <v>7301.3600000000015</v>
      </c>
      <c r="M103" s="59">
        <f t="shared" si="14"/>
        <v>574.96999999999991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7965.1200000000017</v>
      </c>
      <c r="H104" s="57"/>
      <c r="I104" s="61">
        <f t="shared" si="9"/>
        <v>7965.1200000000017</v>
      </c>
      <c r="M104" s="61">
        <f t="shared" si="14"/>
        <v>627.24999999999989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51773.280000000006</v>
      </c>
      <c r="H105" s="64"/>
      <c r="I105" s="63">
        <f>SUM(I93:I104)</f>
        <v>51773.280000000006</v>
      </c>
      <c r="M105" s="63">
        <f>SUM(M93:M104)</f>
        <v>4077.0699999999993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4314.4399999999996</v>
      </c>
      <c r="H107" s="64"/>
      <c r="I107" s="66">
        <f>ROUND(+I105/12,2)</f>
        <v>4314.4399999999996</v>
      </c>
      <c r="M107" s="66">
        <f>ROUND(+M105/12,2)</f>
        <v>339.76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4314.4399999999996</v>
      </c>
      <c r="M110" s="78">
        <f>+M107</f>
        <v>339.76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241</v>
      </c>
      <c r="M112" s="62" t="s">
        <v>242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2.379.00</v>
      </c>
      <c r="D116" s="75"/>
      <c r="E116" s="79">
        <f>E73</f>
        <v>2.7272727272727271E-2</v>
      </c>
      <c r="F116" s="79"/>
      <c r="G116" s="79">
        <f>G73</f>
        <v>2.2727272727272726E-3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9">
    <mergeCell ref="A1:J1"/>
    <mergeCell ref="A2:J2"/>
    <mergeCell ref="A3:J3"/>
    <mergeCell ref="A4:J4"/>
    <mergeCell ref="A81:I81"/>
    <mergeCell ref="A6:I6"/>
    <mergeCell ref="A41:I41"/>
    <mergeCell ref="A42:I42"/>
    <mergeCell ref="A80:I80"/>
  </mergeCells>
  <pageMargins left="0.75" right="0.75" top="1" bottom="1" header="0.5" footer="0.5"/>
  <pageSetup scale="94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843A-1D2B-4194-AAA3-992F2C7E6E1C}">
  <dimension ref="A1:N74"/>
  <sheetViews>
    <sheetView view="pageLayout" zoomScaleNormal="100" workbookViewId="0">
      <selection sqref="A1:XFD1048576"/>
    </sheetView>
  </sheetViews>
  <sheetFormatPr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4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  <c r="M1" s="122"/>
      <c r="N1" s="122"/>
    </row>
    <row r="2" spans="1:14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  <c r="M2" s="122"/>
      <c r="N2" s="122"/>
    </row>
    <row r="3" spans="1:14" ht="27" customHeight="1">
      <c r="A3" s="121" t="str">
        <f>'G9BDH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  <c r="M3" s="122"/>
      <c r="N3" s="122"/>
    </row>
    <row r="4" spans="1:14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  <c r="M4" s="122"/>
      <c r="N4" s="122"/>
    </row>
    <row r="5" spans="1:14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  <c r="M5" s="122"/>
      <c r="N5" s="122"/>
    </row>
    <row r="6" spans="1:14" ht="12.75">
      <c r="A6" s="121" t="str">
        <f>'G9BDH Input'!F6</f>
        <v>2022 Odorizer Replacement - SD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  <c r="M6" s="122"/>
      <c r="N6" s="122"/>
    </row>
    <row r="69" spans="1:14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  <c r="M69" s="122"/>
      <c r="N69" s="122"/>
    </row>
    <row r="70" spans="1:14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  <c r="M70" s="122"/>
      <c r="N70" s="122"/>
    </row>
    <row r="71" spans="1:14" ht="12.75">
      <c r="A71" s="123" t="str">
        <f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  <c r="M71" s="122"/>
      <c r="N71" s="122"/>
    </row>
    <row r="72" spans="1:14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  <c r="M72" s="122"/>
      <c r="N72" s="122"/>
    </row>
    <row r="73" spans="1:14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  <c r="M73" s="122"/>
      <c r="N73" s="122"/>
    </row>
    <row r="74" spans="1:14" ht="12.75">
      <c r="A74" s="121" t="str">
        <f>A6</f>
        <v>2022 Odorizer Replacement - SD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  <c r="M74" s="122"/>
      <c r="N74" s="122"/>
    </row>
  </sheetData>
  <mergeCells count="12">
    <mergeCell ref="A6:N6"/>
    <mergeCell ref="A69:N69"/>
    <mergeCell ref="A1:N1"/>
    <mergeCell ref="A2:N2"/>
    <mergeCell ref="A3:N3"/>
    <mergeCell ref="A4:N4"/>
    <mergeCell ref="A5:N5"/>
    <mergeCell ref="A70:N70"/>
    <mergeCell ref="A71:N71"/>
    <mergeCell ref="A72:N72"/>
    <mergeCell ref="A73:N73"/>
    <mergeCell ref="A74:N74"/>
  </mergeCells>
  <pageMargins left="0.75" right="0.75" top="1" bottom="1" header="0.5" footer="0.5"/>
  <pageSetup scale="78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8" max="1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5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243</v>
      </c>
      <c r="E6" s="34"/>
      <c r="F6" s="127" t="s">
        <v>244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45199</v>
      </c>
    </row>
    <row r="28" spans="1:10">
      <c r="A28" s="36">
        <v>16</v>
      </c>
      <c r="B28" s="34" t="s">
        <v>97</v>
      </c>
      <c r="D28" s="108">
        <v>2453375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245</v>
      </c>
    </row>
    <row r="33" spans="2:2">
      <c r="B33" s="44" t="s">
        <v>246</v>
      </c>
    </row>
    <row r="34" spans="2:2">
      <c r="B34" s="44" t="s">
        <v>247</v>
      </c>
    </row>
    <row r="35" spans="2:2">
      <c r="B35" s="44" t="s">
        <v>248</v>
      </c>
    </row>
    <row r="36" spans="2:2">
      <c r="B36" s="44" t="s">
        <v>249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'G99BX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'G99BX Input'!F6</f>
        <v>SFS: LaMesa &amp; 60th - NW 250 Psig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'G99BX Input'!B13</f>
        <v>44180</v>
      </c>
      <c r="D15" s="55"/>
      <c r="E15" s="56">
        <f>'G99BX Input'!D13*'G99BX Input'!$D$7*'G99BX Input'!$H$7</f>
        <v>0</v>
      </c>
      <c r="F15" s="57"/>
      <c r="G15" s="56">
        <f>'G99BX Input'!D27*'G99BX Input'!D6*'G99BX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'G99BX Input'!B14</f>
        <v>44211</v>
      </c>
      <c r="D16" s="55"/>
      <c r="E16" s="58">
        <f>'G99BX Input'!D14*'G99BX Input'!$D$7*'G99BX Input'!$H$7</f>
        <v>0</v>
      </c>
      <c r="F16" s="57"/>
      <c r="G16" s="58">
        <f>'G99BX Input'!D28*'G99BX Input'!D7*'G99BX Input'!H7</f>
        <v>2453375</v>
      </c>
      <c r="H16" s="57"/>
      <c r="I16" s="58">
        <f t="shared" si="0"/>
        <v>2453375</v>
      </c>
    </row>
    <row r="17" spans="1:10">
      <c r="A17" s="48">
        <f t="shared" si="1"/>
        <v>3</v>
      </c>
      <c r="C17" s="55">
        <f>'G99BX Input'!B15</f>
        <v>44241</v>
      </c>
      <c r="D17" s="55"/>
      <c r="E17" s="58">
        <f>'G99BX Input'!D15*'G99BX Input'!$D$7*'G99BX Input'!$H$7</f>
        <v>0</v>
      </c>
      <c r="F17" s="57"/>
      <c r="G17" s="59">
        <f t="shared" ref="G17:G27" si="2">$G$16</f>
        <v>2453375</v>
      </c>
      <c r="H17" s="57"/>
      <c r="I17" s="59">
        <f t="shared" si="0"/>
        <v>2453375</v>
      </c>
      <c r="J17" s="57"/>
    </row>
    <row r="18" spans="1:10">
      <c r="A18" s="48">
        <f t="shared" si="1"/>
        <v>4</v>
      </c>
      <c r="C18" s="55">
        <f>'G99BX Input'!B16</f>
        <v>44271</v>
      </c>
      <c r="D18" s="55"/>
      <c r="E18" s="58">
        <f>'G99BX Input'!D16*'G99BX Input'!$D$7*'G99BX Input'!$H$7</f>
        <v>0</v>
      </c>
      <c r="F18" s="57"/>
      <c r="G18" s="59">
        <f t="shared" si="2"/>
        <v>2453375</v>
      </c>
      <c r="H18" s="57"/>
      <c r="I18" s="59">
        <f t="shared" si="0"/>
        <v>2453375</v>
      </c>
      <c r="J18" s="57"/>
    </row>
    <row r="19" spans="1:10">
      <c r="A19" s="48">
        <f t="shared" si="1"/>
        <v>5</v>
      </c>
      <c r="C19" s="55">
        <f>'G99BX Input'!B17</f>
        <v>44301</v>
      </c>
      <c r="D19" s="55"/>
      <c r="E19" s="58">
        <f>'G99BX Input'!D17*'G99BX Input'!$D$7*'G99BX Input'!$H$7</f>
        <v>0</v>
      </c>
      <c r="F19" s="57"/>
      <c r="G19" s="59">
        <f t="shared" si="2"/>
        <v>2453375</v>
      </c>
      <c r="H19" s="57"/>
      <c r="I19" s="59">
        <f t="shared" si="0"/>
        <v>2453375</v>
      </c>
      <c r="J19" s="57"/>
    </row>
    <row r="20" spans="1:10">
      <c r="A20" s="48">
        <f t="shared" si="1"/>
        <v>6</v>
      </c>
      <c r="C20" s="55">
        <f>'G99BX Input'!B18</f>
        <v>44331</v>
      </c>
      <c r="D20" s="55"/>
      <c r="E20" s="58">
        <f>'G99BX Input'!D18*'G99BX Input'!$D$7*'G99BX Input'!$H$7</f>
        <v>0</v>
      </c>
      <c r="F20" s="57"/>
      <c r="G20" s="59">
        <f t="shared" si="2"/>
        <v>2453375</v>
      </c>
      <c r="H20" s="57"/>
      <c r="I20" s="59">
        <f t="shared" si="0"/>
        <v>2453375</v>
      </c>
      <c r="J20" s="57"/>
    </row>
    <row r="21" spans="1:10">
      <c r="A21" s="48">
        <f t="shared" si="1"/>
        <v>7</v>
      </c>
      <c r="C21" s="55">
        <f>'G99BX Input'!B19</f>
        <v>44361</v>
      </c>
      <c r="D21" s="55"/>
      <c r="E21" s="58">
        <f>'G99BX Input'!D19*'G99BX Input'!$D$7*'G99BX Input'!$H$7</f>
        <v>0</v>
      </c>
      <c r="F21" s="57"/>
      <c r="G21" s="59">
        <f t="shared" si="2"/>
        <v>2453375</v>
      </c>
      <c r="H21" s="57"/>
      <c r="I21" s="59">
        <f t="shared" si="0"/>
        <v>2453375</v>
      </c>
      <c r="J21" s="57"/>
    </row>
    <row r="22" spans="1:10">
      <c r="A22" s="48">
        <f t="shared" si="1"/>
        <v>8</v>
      </c>
      <c r="C22" s="55">
        <f>'G99BX Input'!B20</f>
        <v>44391</v>
      </c>
      <c r="D22" s="55"/>
      <c r="E22" s="58">
        <f>'G99BX Input'!D20*'G99BX Input'!$D$7*'G99BX Input'!$H$7</f>
        <v>0</v>
      </c>
      <c r="F22" s="57"/>
      <c r="G22" s="59">
        <f t="shared" si="2"/>
        <v>2453375</v>
      </c>
      <c r="H22" s="57"/>
      <c r="I22" s="59">
        <f t="shared" si="0"/>
        <v>2453375</v>
      </c>
      <c r="J22" s="57"/>
    </row>
    <row r="23" spans="1:10">
      <c r="A23" s="48">
        <f t="shared" si="1"/>
        <v>9</v>
      </c>
      <c r="C23" s="55">
        <f>'G99BX Input'!B21</f>
        <v>44421</v>
      </c>
      <c r="D23" s="55"/>
      <c r="E23" s="58">
        <f>'G99BX Input'!D21*'G99BX Input'!$D$7*'G99BX Input'!$H$7</f>
        <v>0</v>
      </c>
      <c r="F23" s="57"/>
      <c r="G23" s="59">
        <f t="shared" si="2"/>
        <v>2453375</v>
      </c>
      <c r="H23" s="57"/>
      <c r="I23" s="59">
        <f t="shared" si="0"/>
        <v>2453375</v>
      </c>
      <c r="J23" s="57"/>
    </row>
    <row r="24" spans="1:10">
      <c r="A24" s="48">
        <f t="shared" si="1"/>
        <v>10</v>
      </c>
      <c r="C24" s="55">
        <f>'G99BX Input'!B22</f>
        <v>44451</v>
      </c>
      <c r="D24" s="55"/>
      <c r="E24" s="58">
        <f>'G99BX Input'!D22*'G99BX Input'!$D$7*'G99BX Input'!$H$7</f>
        <v>0</v>
      </c>
      <c r="F24" s="57"/>
      <c r="G24" s="59">
        <f t="shared" si="2"/>
        <v>2453375</v>
      </c>
      <c r="H24" s="57"/>
      <c r="I24" s="59">
        <f t="shared" si="0"/>
        <v>2453375</v>
      </c>
      <c r="J24" s="57"/>
    </row>
    <row r="25" spans="1:10">
      <c r="A25" s="48">
        <f t="shared" si="1"/>
        <v>11</v>
      </c>
      <c r="C25" s="55">
        <f>'G99BX Input'!B23</f>
        <v>44481</v>
      </c>
      <c r="D25" s="55"/>
      <c r="E25" s="58">
        <f>'G99BX Input'!D23*'G99BX Input'!$D$7*'G99BX Input'!$H$7</f>
        <v>0</v>
      </c>
      <c r="F25" s="57"/>
      <c r="G25" s="59">
        <f t="shared" si="2"/>
        <v>2453375</v>
      </c>
      <c r="H25" s="57"/>
      <c r="I25" s="59">
        <f t="shared" si="0"/>
        <v>2453375</v>
      </c>
      <c r="J25" s="57"/>
    </row>
    <row r="26" spans="1:10">
      <c r="A26" s="48">
        <f t="shared" si="1"/>
        <v>12</v>
      </c>
      <c r="C26" s="55">
        <f>'G99BX Input'!B24</f>
        <v>44511</v>
      </c>
      <c r="D26" s="55"/>
      <c r="E26" s="58">
        <f>'G99BX Input'!D24*'G99BX Input'!$D$7*'G99BX Input'!$H$7</f>
        <v>0</v>
      </c>
      <c r="F26" s="57"/>
      <c r="G26" s="59">
        <f t="shared" si="2"/>
        <v>2453375</v>
      </c>
      <c r="H26" s="57"/>
      <c r="I26" s="59">
        <f t="shared" si="0"/>
        <v>2453375</v>
      </c>
      <c r="J26" s="57"/>
    </row>
    <row r="27" spans="1:10">
      <c r="A27" s="48">
        <f t="shared" si="1"/>
        <v>13</v>
      </c>
      <c r="C27" s="55">
        <f>'G99BX Input'!B25</f>
        <v>44541</v>
      </c>
      <c r="D27" s="55"/>
      <c r="E27" s="60">
        <f>'G99BX Input'!D25*'G99BX Input'!$D$7*'G99BX Input'!$H$7</f>
        <v>0</v>
      </c>
      <c r="F27" s="57"/>
      <c r="G27" s="61">
        <f t="shared" si="2"/>
        <v>2453375</v>
      </c>
      <c r="H27" s="57"/>
      <c r="I27" s="61">
        <f t="shared" si="0"/>
        <v>2453375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29440500</v>
      </c>
      <c r="H28" s="64"/>
      <c r="I28" s="63">
        <f>SUM(I16:I27)</f>
        <v>29440500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2453375</v>
      </c>
      <c r="H30" s="64"/>
      <c r="I30" s="66">
        <f>ROUND(+I28/12,2)</f>
        <v>2453375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2453375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8.85546875" style="48" customWidth="1"/>
    <col min="4" max="4" width="1" style="48" customWidth="1"/>
    <col min="5" max="5" width="12.7109375" style="48" customWidth="1"/>
    <col min="6" max="6" width="1" style="48" customWidth="1"/>
    <col min="7" max="7" width="13.42578125" style="48" customWidth="1"/>
    <col min="8" max="8" width="1" style="48" customWidth="1"/>
    <col min="9" max="9" width="13.5703125" style="48" customWidth="1"/>
    <col min="10" max="10" width="0.85546875" style="48" customWidth="1"/>
    <col min="11" max="11" width="11" style="48" customWidth="1"/>
    <col min="12" max="12" width="1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2.5" customHeight="1">
      <c r="A3" s="119" t="str">
        <f>'G99BX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'G99BX Input'!F6</f>
        <v>SFS: LaMesa &amp; 60th - NW 250 Psig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'G99BX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"&amp;'G99BX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'G99BX TotalWO'!C15</f>
        <v>44180</v>
      </c>
      <c r="D15" s="55"/>
      <c r="E15" s="56">
        <f>'G99BX TotalWO'!E15*'G99BX Input'!$H$13</f>
        <v>0</v>
      </c>
      <c r="F15" s="68"/>
      <c r="G15" s="56">
        <f>'G99BX TotalWO'!G15*'G99BX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'G99BX TotalWO'!C16</f>
        <v>44211</v>
      </c>
      <c r="D16" s="55"/>
      <c r="E16" s="58">
        <f>'G99BX TotalWO'!E16*'G99BX Input'!$H$13</f>
        <v>0</v>
      </c>
      <c r="F16" s="68"/>
      <c r="G16" s="58">
        <f>'G99BX TotalWO'!G16*'G99BX Input'!$H$13</f>
        <v>2453375</v>
      </c>
      <c r="H16" s="59"/>
      <c r="I16" s="58">
        <f t="shared" si="0"/>
        <v>2453375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'G99BX TotalWO'!E17*'G99BX Input'!$H$13</f>
        <v>0</v>
      </c>
      <c r="F17" s="68"/>
      <c r="G17" s="68">
        <f>'G99BX TotalWO'!G17*'G99BX Input'!$H$13</f>
        <v>2453375</v>
      </c>
      <c r="H17" s="59"/>
      <c r="I17" s="59">
        <f t="shared" si="0"/>
        <v>2453375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'G99BX TotalWO'!E18*'G99BX Input'!$H$13</f>
        <v>0</v>
      </c>
      <c r="F18" s="68"/>
      <c r="G18" s="68">
        <f>'G99BX TotalWO'!G18*'G99BX Input'!$H$13</f>
        <v>2453375</v>
      </c>
      <c r="H18" s="59"/>
      <c r="I18" s="59">
        <f t="shared" si="0"/>
        <v>2453375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'G99BX TotalWO'!E19*'G99BX Input'!$H$13</f>
        <v>0</v>
      </c>
      <c r="F19" s="68"/>
      <c r="G19" s="68">
        <f>'G99BX TotalWO'!G19*'G99BX Input'!$H$13</f>
        <v>2453375</v>
      </c>
      <c r="H19" s="59"/>
      <c r="I19" s="59">
        <f t="shared" si="0"/>
        <v>2453375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'G99BX TotalWO'!E20*'G99BX Input'!$H$13</f>
        <v>0</v>
      </c>
      <c r="F20" s="68"/>
      <c r="G20" s="68">
        <f>'G99BX TotalWO'!G20*'G99BX Input'!$H$13</f>
        <v>2453375</v>
      </c>
      <c r="H20" s="59"/>
      <c r="I20" s="59">
        <f t="shared" si="0"/>
        <v>2453375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'G99BX TotalWO'!E21*'G99BX Input'!$H$13</f>
        <v>0</v>
      </c>
      <c r="F21" s="68"/>
      <c r="G21" s="68">
        <f>'G99BX TotalWO'!G21*'G99BX Input'!$H$13</f>
        <v>2453375</v>
      </c>
      <c r="H21" s="59"/>
      <c r="I21" s="59">
        <f t="shared" si="0"/>
        <v>2453375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'G99BX TotalWO'!E22*'G99BX Input'!$H$13</f>
        <v>0</v>
      </c>
      <c r="F22" s="68"/>
      <c r="G22" s="68">
        <f>'G99BX TotalWO'!G22*'G99BX Input'!$H$13</f>
        <v>2453375</v>
      </c>
      <c r="H22" s="59"/>
      <c r="I22" s="59">
        <f t="shared" si="0"/>
        <v>2453375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'G99BX TotalWO'!E23*'G99BX Input'!$H$13</f>
        <v>0</v>
      </c>
      <c r="F23" s="68"/>
      <c r="G23" s="68">
        <f>'G99BX TotalWO'!G23*'G99BX Input'!$H$13</f>
        <v>2453375</v>
      </c>
      <c r="H23" s="59"/>
      <c r="I23" s="59">
        <f t="shared" si="0"/>
        <v>2453375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'G99BX TotalWO'!E24*'G99BX Input'!$H$13</f>
        <v>0</v>
      </c>
      <c r="F24" s="68"/>
      <c r="G24" s="68">
        <f>'G99BX TotalWO'!G24*'G99BX Input'!$H$13</f>
        <v>2453375</v>
      </c>
      <c r="H24" s="59"/>
      <c r="I24" s="59">
        <f t="shared" si="0"/>
        <v>2453375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'G99BX TotalWO'!E25*'G99BX Input'!$H$13</f>
        <v>0</v>
      </c>
      <c r="F25" s="68"/>
      <c r="G25" s="68">
        <f>'G99BX TotalWO'!G25*'G99BX Input'!$H$13</f>
        <v>2453375</v>
      </c>
      <c r="H25" s="59"/>
      <c r="I25" s="59">
        <f t="shared" si="0"/>
        <v>2453375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'G99BX TotalWO'!E26*'G99BX Input'!$H$13</f>
        <v>0</v>
      </c>
      <c r="F26" s="68"/>
      <c r="G26" s="68">
        <f>'G99BX TotalWO'!G26*'G99BX Input'!$H$13</f>
        <v>2453375</v>
      </c>
      <c r="H26" s="59"/>
      <c r="I26" s="59">
        <f t="shared" si="0"/>
        <v>2453375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'G99BX TotalWO'!E27*'G99BX Input'!$H$13</f>
        <v>0</v>
      </c>
      <c r="F27" s="68"/>
      <c r="G27" s="71">
        <f>'G99BX TotalWO'!G27*'G99BX Input'!$H$13</f>
        <v>2453375</v>
      </c>
      <c r="H27" s="59"/>
      <c r="I27" s="61">
        <f t="shared" si="0"/>
        <v>2453375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29440500</v>
      </c>
      <c r="H28" s="64"/>
      <c r="I28" s="63">
        <f>SUM(I16:I27)</f>
        <v>29440500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2453375</v>
      </c>
      <c r="H30" s="64"/>
      <c r="I30" s="66">
        <f>ROUND(+I28/12,2)</f>
        <v>2453375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2453375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250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3.2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LaMesa &amp; 60th - NW 250 Psig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4509.88</v>
      </c>
      <c r="H53" s="64"/>
      <c r="I53" s="63">
        <f t="shared" ref="I53:I64" si="4">G53-E53</f>
        <v>4509.88</v>
      </c>
      <c r="K53" s="58"/>
      <c r="M53" s="63">
        <f>+ROUND(I53/I$67*M$67,2)</f>
        <v>662.95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4509.88</v>
      </c>
      <c r="H54" s="57"/>
      <c r="I54" s="59">
        <f t="shared" si="4"/>
        <v>4509.88</v>
      </c>
      <c r="M54" s="59">
        <f t="shared" ref="M54:M62" si="8">+ROUND(I54/I$67*M$67,2)</f>
        <v>662.95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4509.88</v>
      </c>
      <c r="H55" s="57"/>
      <c r="I55" s="59">
        <f t="shared" si="4"/>
        <v>4509.88</v>
      </c>
      <c r="M55" s="59">
        <f t="shared" si="8"/>
        <v>662.95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4509.88</v>
      </c>
      <c r="H56" s="57"/>
      <c r="I56" s="59">
        <f t="shared" si="4"/>
        <v>4509.88</v>
      </c>
      <c r="M56" s="59">
        <f t="shared" si="8"/>
        <v>662.95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4509.88</v>
      </c>
      <c r="H57" s="57"/>
      <c r="I57" s="59">
        <f t="shared" si="4"/>
        <v>4509.88</v>
      </c>
      <c r="M57" s="59">
        <f t="shared" si="8"/>
        <v>662.95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4509.88</v>
      </c>
      <c r="H58" s="57"/>
      <c r="I58" s="59">
        <f t="shared" si="4"/>
        <v>4509.88</v>
      </c>
      <c r="M58" s="59">
        <f t="shared" si="8"/>
        <v>662.95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4509.88</v>
      </c>
      <c r="H59" s="57"/>
      <c r="I59" s="59">
        <f t="shared" si="4"/>
        <v>4509.88</v>
      </c>
      <c r="M59" s="59">
        <f t="shared" si="8"/>
        <v>662.95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4509.88</v>
      </c>
      <c r="H60" s="57"/>
      <c r="I60" s="59">
        <f t="shared" si="4"/>
        <v>4509.88</v>
      </c>
      <c r="M60" s="59">
        <f t="shared" si="8"/>
        <v>662.95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4509.88</v>
      </c>
      <c r="H61" s="57"/>
      <c r="I61" s="59">
        <f t="shared" si="4"/>
        <v>4509.88</v>
      </c>
      <c r="M61" s="59">
        <f t="shared" si="8"/>
        <v>662.95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4509.88</v>
      </c>
      <c r="H62" s="57"/>
      <c r="I62" s="59">
        <f t="shared" si="4"/>
        <v>4509.88</v>
      </c>
      <c r="M62" s="59">
        <f t="shared" si="8"/>
        <v>662.95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4509.88</v>
      </c>
      <c r="H63" s="57"/>
      <c r="I63" s="59">
        <f t="shared" si="4"/>
        <v>4509.88</v>
      </c>
      <c r="M63" s="59">
        <f>+ROUND(I63/I$67*M$67,2)+0.01</f>
        <v>662.96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4509.88</v>
      </c>
      <c r="H64" s="57"/>
      <c r="I64" s="61">
        <f t="shared" si="4"/>
        <v>4509.88</v>
      </c>
      <c r="M64" s="61">
        <f>+ROUND(I64/I$67*M$67,2)+0.01</f>
        <v>662.96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54118.55999999999</v>
      </c>
      <c r="H65" s="64"/>
      <c r="I65" s="63">
        <f>SUM(I53:I64)</f>
        <v>54118.55999999999</v>
      </c>
      <c r="M65" s="63">
        <f>SUM(M53:M64)</f>
        <v>7955.4199999999992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54118.55999999999</v>
      </c>
      <c r="K67" s="66">
        <f>ROUND(G16*K73,2)</f>
        <v>92001.56</v>
      </c>
      <c r="M67" s="66">
        <f>ROUND(+(K67-I67)*M73,2)</f>
        <v>7955.43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251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'G99BX Input'!J13</f>
        <v>2.2058823529411766E-2</v>
      </c>
      <c r="F73" s="76"/>
      <c r="G73" s="76">
        <f>E73/12</f>
        <v>1.8382352941176473E-3</v>
      </c>
      <c r="K73" s="86">
        <f>+'G99BX Input'!L13</f>
        <v>3.7499999999999999E-2</v>
      </c>
      <c r="M73" s="87">
        <f>+'G99BX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LaMesa &amp; 60th - NW 250 Psig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4509.88</v>
      </c>
      <c r="H93" s="57"/>
      <c r="I93" s="58">
        <f t="shared" si="9"/>
        <v>4509.88</v>
      </c>
      <c r="M93" s="58">
        <f>+M53</f>
        <v>662.95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9019.76</v>
      </c>
      <c r="H94" s="57"/>
      <c r="I94" s="59">
        <f t="shared" si="9"/>
        <v>9019.76</v>
      </c>
      <c r="M94" s="59">
        <f>+M93+M54</f>
        <v>1325.9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13529.64</v>
      </c>
      <c r="H95" s="57"/>
      <c r="I95" s="59">
        <f t="shared" si="9"/>
        <v>13529.64</v>
      </c>
      <c r="M95" s="59">
        <f t="shared" ref="M95:M104" si="14">+M94+M55</f>
        <v>1988.8500000000001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18039.52</v>
      </c>
      <c r="H96" s="57"/>
      <c r="I96" s="59">
        <f t="shared" si="9"/>
        <v>18039.52</v>
      </c>
      <c r="M96" s="59">
        <f t="shared" si="14"/>
        <v>2651.8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22549.4</v>
      </c>
      <c r="H97" s="57"/>
      <c r="I97" s="59">
        <f t="shared" si="9"/>
        <v>22549.4</v>
      </c>
      <c r="M97" s="59">
        <f t="shared" si="14"/>
        <v>3314.75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27059.280000000002</v>
      </c>
      <c r="H98" s="57"/>
      <c r="I98" s="59">
        <f t="shared" si="9"/>
        <v>27059.280000000002</v>
      </c>
      <c r="M98" s="59">
        <f t="shared" si="14"/>
        <v>3977.7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31569.160000000003</v>
      </c>
      <c r="H99" s="57"/>
      <c r="I99" s="59">
        <f t="shared" si="9"/>
        <v>31569.160000000003</v>
      </c>
      <c r="M99" s="59">
        <f t="shared" si="14"/>
        <v>4640.6499999999996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36079.040000000001</v>
      </c>
      <c r="H100" s="57"/>
      <c r="I100" s="59">
        <f t="shared" si="9"/>
        <v>36079.040000000001</v>
      </c>
      <c r="M100" s="59">
        <f t="shared" si="14"/>
        <v>5303.5999999999995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40588.92</v>
      </c>
      <c r="H101" s="57"/>
      <c r="I101" s="59">
        <f t="shared" si="9"/>
        <v>40588.92</v>
      </c>
      <c r="M101" s="59">
        <f t="shared" si="14"/>
        <v>5966.5499999999993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45098.799999999996</v>
      </c>
      <c r="H102" s="57"/>
      <c r="I102" s="59">
        <f t="shared" si="9"/>
        <v>45098.799999999996</v>
      </c>
      <c r="M102" s="59">
        <f t="shared" si="14"/>
        <v>6629.4999999999991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49608.679999999993</v>
      </c>
      <c r="H103" s="57"/>
      <c r="I103" s="59">
        <f t="shared" si="9"/>
        <v>49608.679999999993</v>
      </c>
      <c r="M103" s="59">
        <f t="shared" si="14"/>
        <v>7292.4599999999991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54118.55999999999</v>
      </c>
      <c r="H104" s="57"/>
      <c r="I104" s="61">
        <f t="shared" si="9"/>
        <v>54118.55999999999</v>
      </c>
      <c r="M104" s="61">
        <f t="shared" si="14"/>
        <v>7955.4199999999992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351770.64</v>
      </c>
      <c r="H105" s="64"/>
      <c r="I105" s="63">
        <f>SUM(I93:I104)</f>
        <v>351770.64</v>
      </c>
      <c r="M105" s="63">
        <f>SUM(M93:M104)</f>
        <v>51710.12999999999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29314.22</v>
      </c>
      <c r="H107" s="64"/>
      <c r="I107" s="66">
        <f>ROUND(+I105/12,2)</f>
        <v>29314.22</v>
      </c>
      <c r="M107" s="66">
        <f>ROUND(+M105/12,2)</f>
        <v>4309.18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29314.22</v>
      </c>
      <c r="M110" s="78">
        <f>+M107</f>
        <v>4309.18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252</v>
      </c>
      <c r="M112" s="62" t="s">
        <v>253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'G99BX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'G99BX Input'!F6</f>
        <v>SFS: LaMesa &amp; 60th - NW 250 Psig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SFS: LaMesa &amp; 60th - NW 250 Psig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75:L75"/>
    <mergeCell ref="A1:L1"/>
    <mergeCell ref="A2:L2"/>
    <mergeCell ref="A3:L3"/>
    <mergeCell ref="A4:L4"/>
    <mergeCell ref="A5:L5"/>
    <mergeCell ref="A6:L6"/>
    <mergeCell ref="A70:L70"/>
    <mergeCell ref="A71:L71"/>
    <mergeCell ref="A72:L72"/>
    <mergeCell ref="A73:L73"/>
    <mergeCell ref="A74:L74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5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254</v>
      </c>
      <c r="E6" s="34"/>
      <c r="F6" s="127" t="s">
        <v>255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45230</v>
      </c>
    </row>
    <row r="28" spans="1:10">
      <c r="A28" s="36">
        <v>16</v>
      </c>
      <c r="B28" s="34" t="s">
        <v>97</v>
      </c>
      <c r="D28" s="108">
        <v>444264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256</v>
      </c>
    </row>
    <row r="33" spans="2:2">
      <c r="B33" s="44" t="s">
        <v>257</v>
      </c>
    </row>
    <row r="34" spans="2:2">
      <c r="B34" s="44" t="s">
        <v>258</v>
      </c>
    </row>
    <row r="35" spans="2:2">
      <c r="B35" s="44" t="s">
        <v>259</v>
      </c>
    </row>
    <row r="36" spans="2:2">
      <c r="B36" s="44" t="s">
        <v>260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4" customHeight="1">
      <c r="A3" s="49" t="str">
        <f>'G99HL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'G99HL Input'!F6</f>
        <v>SFS W 85th St HP: Tea-Sundown'r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'G99HL Input'!B13</f>
        <v>44180</v>
      </c>
      <c r="D15" s="55"/>
      <c r="E15" s="56">
        <f>'G99HL Input'!D13*'G99HL Input'!$D$7*'G99HL Input'!$H$7</f>
        <v>0</v>
      </c>
      <c r="F15" s="57"/>
      <c r="G15" s="56">
        <f>'G99HL Input'!D27*'G99HL Input'!D6*'G99HL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'G99HL Input'!B14</f>
        <v>44211</v>
      </c>
      <c r="D16" s="55"/>
      <c r="E16" s="58">
        <f>'G99HL Input'!D14*'G99HL Input'!$D$7*'G99HL Input'!$H$7</f>
        <v>0</v>
      </c>
      <c r="F16" s="57"/>
      <c r="G16" s="58">
        <f>'G99HL Input'!D28*'G99HL Input'!D7*'G99HL Input'!H7</f>
        <v>444264</v>
      </c>
      <c r="H16" s="57"/>
      <c r="I16" s="58">
        <f t="shared" si="0"/>
        <v>444264</v>
      </c>
    </row>
    <row r="17" spans="1:10">
      <c r="A17" s="48">
        <f t="shared" si="1"/>
        <v>3</v>
      </c>
      <c r="C17" s="55">
        <f>'G99HL Input'!B15</f>
        <v>44241</v>
      </c>
      <c r="D17" s="55"/>
      <c r="E17" s="58">
        <f>'G99HL Input'!D15*'G99HL Input'!$D$7*'G99HL Input'!$H$7</f>
        <v>0</v>
      </c>
      <c r="F17" s="57"/>
      <c r="G17" s="59">
        <f t="shared" ref="G17:G27" si="2">$G$16</f>
        <v>444264</v>
      </c>
      <c r="H17" s="57"/>
      <c r="I17" s="59">
        <f t="shared" si="0"/>
        <v>444264</v>
      </c>
      <c r="J17" s="57"/>
    </row>
    <row r="18" spans="1:10">
      <c r="A18" s="48">
        <f t="shared" si="1"/>
        <v>4</v>
      </c>
      <c r="C18" s="55">
        <f>'G99HL Input'!B16</f>
        <v>44271</v>
      </c>
      <c r="D18" s="55"/>
      <c r="E18" s="58">
        <f>'G99HL Input'!D16*'G99HL Input'!$D$7*'G99HL Input'!$H$7</f>
        <v>0</v>
      </c>
      <c r="F18" s="57"/>
      <c r="G18" s="59">
        <f t="shared" si="2"/>
        <v>444264</v>
      </c>
      <c r="H18" s="57"/>
      <c r="I18" s="59">
        <f t="shared" si="0"/>
        <v>444264</v>
      </c>
      <c r="J18" s="57"/>
    </row>
    <row r="19" spans="1:10">
      <c r="A19" s="48">
        <f t="shared" si="1"/>
        <v>5</v>
      </c>
      <c r="C19" s="55">
        <f>'G99HL Input'!B17</f>
        <v>44301</v>
      </c>
      <c r="D19" s="55"/>
      <c r="E19" s="58">
        <f>'G99HL Input'!D17*'G99HL Input'!$D$7*'G99HL Input'!$H$7</f>
        <v>0</v>
      </c>
      <c r="F19" s="57"/>
      <c r="G19" s="59">
        <f t="shared" si="2"/>
        <v>444264</v>
      </c>
      <c r="H19" s="57"/>
      <c r="I19" s="59">
        <f t="shared" si="0"/>
        <v>444264</v>
      </c>
      <c r="J19" s="57"/>
    </row>
    <row r="20" spans="1:10">
      <c r="A20" s="48">
        <f t="shared" si="1"/>
        <v>6</v>
      </c>
      <c r="C20" s="55">
        <f>'G99HL Input'!B18</f>
        <v>44331</v>
      </c>
      <c r="D20" s="55"/>
      <c r="E20" s="58">
        <f>'G99HL Input'!D18*'G99HL Input'!$D$7*'G99HL Input'!$H$7</f>
        <v>0</v>
      </c>
      <c r="F20" s="57"/>
      <c r="G20" s="59">
        <f t="shared" si="2"/>
        <v>444264</v>
      </c>
      <c r="H20" s="57"/>
      <c r="I20" s="59">
        <f t="shared" si="0"/>
        <v>444264</v>
      </c>
      <c r="J20" s="57"/>
    </row>
    <row r="21" spans="1:10">
      <c r="A21" s="48">
        <f t="shared" si="1"/>
        <v>7</v>
      </c>
      <c r="C21" s="55">
        <f>'G99HL Input'!B19</f>
        <v>44361</v>
      </c>
      <c r="D21" s="55"/>
      <c r="E21" s="58">
        <f>'G99HL Input'!D19*'G99HL Input'!$D$7*'G99HL Input'!$H$7</f>
        <v>0</v>
      </c>
      <c r="F21" s="57"/>
      <c r="G21" s="59">
        <f t="shared" si="2"/>
        <v>444264</v>
      </c>
      <c r="H21" s="57"/>
      <c r="I21" s="59">
        <f t="shared" si="0"/>
        <v>444264</v>
      </c>
      <c r="J21" s="57"/>
    </row>
    <row r="22" spans="1:10">
      <c r="A22" s="48">
        <f t="shared" si="1"/>
        <v>8</v>
      </c>
      <c r="C22" s="55">
        <f>'G99HL Input'!B20</f>
        <v>44391</v>
      </c>
      <c r="D22" s="55"/>
      <c r="E22" s="58">
        <f>'G99HL Input'!D20*'G99HL Input'!$D$7*'G99HL Input'!$H$7</f>
        <v>0</v>
      </c>
      <c r="F22" s="57"/>
      <c r="G22" s="59">
        <f t="shared" si="2"/>
        <v>444264</v>
      </c>
      <c r="H22" s="57"/>
      <c r="I22" s="59">
        <f t="shared" si="0"/>
        <v>444264</v>
      </c>
      <c r="J22" s="57"/>
    </row>
    <row r="23" spans="1:10">
      <c r="A23" s="48">
        <f t="shared" si="1"/>
        <v>9</v>
      </c>
      <c r="C23" s="55">
        <f>'G99HL Input'!B21</f>
        <v>44421</v>
      </c>
      <c r="D23" s="55"/>
      <c r="E23" s="58">
        <f>'G99HL Input'!D21*'G99HL Input'!$D$7*'G99HL Input'!$H$7</f>
        <v>0</v>
      </c>
      <c r="F23" s="57"/>
      <c r="G23" s="59">
        <f t="shared" si="2"/>
        <v>444264</v>
      </c>
      <c r="H23" s="57"/>
      <c r="I23" s="59">
        <f t="shared" si="0"/>
        <v>444264</v>
      </c>
      <c r="J23" s="57"/>
    </row>
    <row r="24" spans="1:10">
      <c r="A24" s="48">
        <f t="shared" si="1"/>
        <v>10</v>
      </c>
      <c r="C24" s="55">
        <f>'G99HL Input'!B22</f>
        <v>44451</v>
      </c>
      <c r="D24" s="55"/>
      <c r="E24" s="58">
        <f>'G99HL Input'!D22*'G99HL Input'!$D$7*'G99HL Input'!$H$7</f>
        <v>0</v>
      </c>
      <c r="F24" s="57"/>
      <c r="G24" s="59">
        <f t="shared" si="2"/>
        <v>444264</v>
      </c>
      <c r="H24" s="57"/>
      <c r="I24" s="59">
        <f t="shared" si="0"/>
        <v>444264</v>
      </c>
      <c r="J24" s="57"/>
    </row>
    <row r="25" spans="1:10">
      <c r="A25" s="48">
        <f t="shared" si="1"/>
        <v>11</v>
      </c>
      <c r="C25" s="55">
        <f>'G99HL Input'!B23</f>
        <v>44481</v>
      </c>
      <c r="D25" s="55"/>
      <c r="E25" s="58">
        <f>'G99HL Input'!D23*'G99HL Input'!$D$7*'G99HL Input'!$H$7</f>
        <v>0</v>
      </c>
      <c r="F25" s="57"/>
      <c r="G25" s="59">
        <f t="shared" si="2"/>
        <v>444264</v>
      </c>
      <c r="H25" s="57"/>
      <c r="I25" s="59">
        <f t="shared" si="0"/>
        <v>444264</v>
      </c>
      <c r="J25" s="57"/>
    </row>
    <row r="26" spans="1:10">
      <c r="A26" s="48">
        <f t="shared" si="1"/>
        <v>12</v>
      </c>
      <c r="C26" s="55">
        <f>'G99HL Input'!B24</f>
        <v>44511</v>
      </c>
      <c r="D26" s="55"/>
      <c r="E26" s="58">
        <f>'G99HL Input'!D24*'G99HL Input'!$D$7*'G99HL Input'!$H$7</f>
        <v>0</v>
      </c>
      <c r="F26" s="57"/>
      <c r="G26" s="59">
        <f t="shared" si="2"/>
        <v>444264</v>
      </c>
      <c r="H26" s="57"/>
      <c r="I26" s="59">
        <f t="shared" si="0"/>
        <v>444264</v>
      </c>
      <c r="J26" s="57"/>
    </row>
    <row r="27" spans="1:10">
      <c r="A27" s="48">
        <f t="shared" si="1"/>
        <v>13</v>
      </c>
      <c r="C27" s="55">
        <f>'G99HL Input'!B25</f>
        <v>44541</v>
      </c>
      <c r="D27" s="55"/>
      <c r="E27" s="60">
        <f>'G99HL Input'!D25*'G99HL Input'!$D$7*'G99HL Input'!$H$7</f>
        <v>0</v>
      </c>
      <c r="F27" s="57"/>
      <c r="G27" s="61">
        <f t="shared" si="2"/>
        <v>444264</v>
      </c>
      <c r="H27" s="57"/>
      <c r="I27" s="61">
        <f t="shared" si="0"/>
        <v>444264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5331168</v>
      </c>
      <c r="H28" s="64"/>
      <c r="I28" s="63">
        <f>SUM(I16:I27)</f>
        <v>5331168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444264</v>
      </c>
      <c r="H30" s="64"/>
      <c r="I30" s="66">
        <f>ROUND(+I28/12,2)</f>
        <v>444264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444264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7.140625" style="48" customWidth="1"/>
    <col min="4" max="4" width="1" style="48" customWidth="1"/>
    <col min="5" max="5" width="13.140625" style="48" customWidth="1"/>
    <col min="6" max="6" width="1" style="48" customWidth="1"/>
    <col min="7" max="7" width="13.5703125" style="48" customWidth="1"/>
    <col min="8" max="8" width="1" style="48" customWidth="1"/>
    <col min="9" max="9" width="13" style="48" customWidth="1"/>
    <col min="10" max="10" width="0.85546875" style="48" customWidth="1"/>
    <col min="11" max="11" width="11" style="48" customWidth="1"/>
    <col min="12" max="12" width="0.71093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" customHeight="1">
      <c r="A3" s="119" t="str">
        <f>'G99HL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'G99HL Input'!F6</f>
        <v>SFS W 85th St HP: Tea-Sundown'r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G99HLTotalWO!A8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"&amp;'G99HL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G99HLTotalWO!C15</f>
        <v>44180</v>
      </c>
      <c r="D15" s="55"/>
      <c r="E15" s="56">
        <f>G99HLTotalWO!E15*'G99HL Input'!$H$13</f>
        <v>0</v>
      </c>
      <c r="F15" s="68"/>
      <c r="G15" s="56">
        <f>G99HLTotalWO!G15*'G99HL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G99HLTotalWO!C16</f>
        <v>44211</v>
      </c>
      <c r="D16" s="55"/>
      <c r="E16" s="58">
        <f>G99HLTotalWO!E16*'G99HL Input'!$H$13</f>
        <v>0</v>
      </c>
      <c r="F16" s="68"/>
      <c r="G16" s="58">
        <f>G99HLTotalWO!G16*'G99HL Input'!$H$13</f>
        <v>444264</v>
      </c>
      <c r="H16" s="59"/>
      <c r="I16" s="58">
        <f t="shared" si="0"/>
        <v>444264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G99HLTotalWO!E17*'G99HL Input'!$H$13</f>
        <v>0</v>
      </c>
      <c r="F17" s="68"/>
      <c r="G17" s="68">
        <f>G99HLTotalWO!G17*'G99HL Input'!$H$13</f>
        <v>444264</v>
      </c>
      <c r="H17" s="59"/>
      <c r="I17" s="59">
        <f t="shared" si="0"/>
        <v>444264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G99HLTotalWO!E18*'G99HL Input'!$H$13</f>
        <v>0</v>
      </c>
      <c r="F18" s="68"/>
      <c r="G18" s="68">
        <f>G99HLTotalWO!G18*'G99HL Input'!$H$13</f>
        <v>444264</v>
      </c>
      <c r="H18" s="59"/>
      <c r="I18" s="59">
        <f t="shared" si="0"/>
        <v>444264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G99HLTotalWO!E19*'G99HL Input'!$H$13</f>
        <v>0</v>
      </c>
      <c r="F19" s="68"/>
      <c r="G19" s="68">
        <f>G99HLTotalWO!G19*'G99HL Input'!$H$13</f>
        <v>444264</v>
      </c>
      <c r="H19" s="59"/>
      <c r="I19" s="59">
        <f t="shared" si="0"/>
        <v>444264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G99HLTotalWO!E20*'G99HL Input'!$H$13</f>
        <v>0</v>
      </c>
      <c r="F20" s="68"/>
      <c r="G20" s="68">
        <f>G99HLTotalWO!G20*'G99HL Input'!$H$13</f>
        <v>444264</v>
      </c>
      <c r="H20" s="59"/>
      <c r="I20" s="59">
        <f t="shared" si="0"/>
        <v>444264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G99HLTotalWO!E21*'G99HL Input'!$H$13</f>
        <v>0</v>
      </c>
      <c r="F21" s="68"/>
      <c r="G21" s="68">
        <f>G99HLTotalWO!G21*'G99HL Input'!$H$13</f>
        <v>444264</v>
      </c>
      <c r="H21" s="59"/>
      <c r="I21" s="59">
        <f t="shared" si="0"/>
        <v>444264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G99HLTotalWO!E22*'G99HL Input'!$H$13</f>
        <v>0</v>
      </c>
      <c r="F22" s="68"/>
      <c r="G22" s="68">
        <f>G99HLTotalWO!G22*'G99HL Input'!$H$13</f>
        <v>444264</v>
      </c>
      <c r="H22" s="59"/>
      <c r="I22" s="59">
        <f t="shared" si="0"/>
        <v>444264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G99HLTotalWO!E23*'G99HL Input'!$H$13</f>
        <v>0</v>
      </c>
      <c r="F23" s="68"/>
      <c r="G23" s="68">
        <f>G99HLTotalWO!G23*'G99HL Input'!$H$13</f>
        <v>444264</v>
      </c>
      <c r="H23" s="59"/>
      <c r="I23" s="59">
        <f t="shared" si="0"/>
        <v>444264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G99HLTotalWO!E24*'G99HL Input'!$H$13</f>
        <v>0</v>
      </c>
      <c r="F24" s="68"/>
      <c r="G24" s="68">
        <f>G99HLTotalWO!G24*'G99HL Input'!$H$13</f>
        <v>444264</v>
      </c>
      <c r="H24" s="59"/>
      <c r="I24" s="59">
        <f t="shared" si="0"/>
        <v>444264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G99HLTotalWO!E25*'G99HL Input'!$H$13</f>
        <v>0</v>
      </c>
      <c r="F25" s="68"/>
      <c r="G25" s="68">
        <f>G99HLTotalWO!G25*'G99HL Input'!$H$13</f>
        <v>444264</v>
      </c>
      <c r="H25" s="59"/>
      <c r="I25" s="59">
        <f t="shared" si="0"/>
        <v>444264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G99HLTotalWO!E26*'G99HL Input'!$H$13</f>
        <v>0</v>
      </c>
      <c r="F26" s="68"/>
      <c r="G26" s="68">
        <f>G99HLTotalWO!G26*'G99HL Input'!$H$13</f>
        <v>444264</v>
      </c>
      <c r="H26" s="59"/>
      <c r="I26" s="59">
        <f t="shared" si="0"/>
        <v>444264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G99HLTotalWO!E27*'G99HL Input'!$H$13</f>
        <v>0</v>
      </c>
      <c r="F27" s="68"/>
      <c r="G27" s="71">
        <f>G99HLTotalWO!G27*'G99HL Input'!$H$13</f>
        <v>444264</v>
      </c>
      <c r="H27" s="59"/>
      <c r="I27" s="61">
        <f t="shared" si="0"/>
        <v>444264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5331168</v>
      </c>
      <c r="H28" s="64"/>
      <c r="I28" s="63">
        <f>SUM(I16:I27)</f>
        <v>5331168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444264</v>
      </c>
      <c r="H30" s="64"/>
      <c r="I30" s="66">
        <f>ROUND(+I28/12,2)</f>
        <v>444264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444264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261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5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 W 85th St HP: Tea-Sundown'r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816.66</v>
      </c>
      <c r="H53" s="64"/>
      <c r="I53" s="63">
        <f t="shared" ref="I53:I64" si="4">G53-E53</f>
        <v>816.66</v>
      </c>
      <c r="K53" s="58"/>
      <c r="M53" s="63">
        <f>+ROUND(I53/I$67*M$67,2)</f>
        <v>120.05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816.66</v>
      </c>
      <c r="H54" s="57"/>
      <c r="I54" s="59">
        <f t="shared" si="4"/>
        <v>816.66</v>
      </c>
      <c r="M54" s="59">
        <f t="shared" ref="M54:M61" si="8">+ROUND(I54/I$67*M$67,2)</f>
        <v>120.05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816.66</v>
      </c>
      <c r="H55" s="57"/>
      <c r="I55" s="59">
        <f t="shared" si="4"/>
        <v>816.66</v>
      </c>
      <c r="M55" s="59">
        <f t="shared" si="8"/>
        <v>120.05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816.66</v>
      </c>
      <c r="H56" s="57"/>
      <c r="I56" s="59">
        <f t="shared" si="4"/>
        <v>816.66</v>
      </c>
      <c r="M56" s="59">
        <f t="shared" si="8"/>
        <v>120.05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816.66</v>
      </c>
      <c r="H57" s="57"/>
      <c r="I57" s="59">
        <f t="shared" si="4"/>
        <v>816.66</v>
      </c>
      <c r="M57" s="59">
        <f t="shared" si="8"/>
        <v>120.05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816.66</v>
      </c>
      <c r="H58" s="57"/>
      <c r="I58" s="59">
        <f t="shared" si="4"/>
        <v>816.66</v>
      </c>
      <c r="M58" s="59">
        <f t="shared" si="8"/>
        <v>120.05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816.66</v>
      </c>
      <c r="H59" s="57"/>
      <c r="I59" s="59">
        <f t="shared" si="4"/>
        <v>816.66</v>
      </c>
      <c r="M59" s="59">
        <f t="shared" si="8"/>
        <v>120.05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816.66</v>
      </c>
      <c r="H60" s="57"/>
      <c r="I60" s="59">
        <f t="shared" si="4"/>
        <v>816.66</v>
      </c>
      <c r="M60" s="59">
        <f t="shared" si="8"/>
        <v>120.05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816.66</v>
      </c>
      <c r="H61" s="57"/>
      <c r="I61" s="59">
        <f t="shared" si="4"/>
        <v>816.66</v>
      </c>
      <c r="M61" s="59">
        <f t="shared" si="8"/>
        <v>120.05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816.66</v>
      </c>
      <c r="H62" s="57"/>
      <c r="I62" s="59">
        <f t="shared" si="4"/>
        <v>816.66</v>
      </c>
      <c r="M62" s="59">
        <f>+ROUND(I62/I$67*M$67,2)-0.01</f>
        <v>120.03999999999999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816.66</v>
      </c>
      <c r="H63" s="57"/>
      <c r="I63" s="59">
        <f t="shared" si="4"/>
        <v>816.66</v>
      </c>
      <c r="M63" s="59">
        <f>+ROUND(I63/I$67*M$67,2)-0.01</f>
        <v>120.03999999999999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816.66</v>
      </c>
      <c r="H64" s="57"/>
      <c r="I64" s="61">
        <f t="shared" si="4"/>
        <v>816.66</v>
      </c>
      <c r="M64" s="61">
        <f>+ROUND(I64/I$67*M$67,2)-0.01</f>
        <v>120.03999999999999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9799.92</v>
      </c>
      <c r="H65" s="64"/>
      <c r="I65" s="63">
        <f>SUM(I53:I64)</f>
        <v>9799.92</v>
      </c>
      <c r="M65" s="63">
        <f>SUM(M53:M64)</f>
        <v>1440.5699999999997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9799.92</v>
      </c>
      <c r="K67" s="66">
        <f>ROUND(G16*K73,2)</f>
        <v>16659.900000000001</v>
      </c>
      <c r="M67" s="66">
        <f>ROUND(+(K67-I67)*M73,2)</f>
        <v>1440.6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262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'G99HL Input'!J13</f>
        <v>2.2058823529411766E-2</v>
      </c>
      <c r="F73" s="76"/>
      <c r="G73" s="76">
        <f>E73/12</f>
        <v>1.8382352941176473E-3</v>
      </c>
      <c r="K73" s="86">
        <f>+'G99HL Input'!L13</f>
        <v>3.7499999999999999E-2</v>
      </c>
      <c r="M73" s="87">
        <f>+'G99HL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4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 W 85th St HP: Tea-Sundown'r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816.66</v>
      </c>
      <c r="H93" s="57"/>
      <c r="I93" s="58">
        <f t="shared" si="9"/>
        <v>816.66</v>
      </c>
      <c r="M93" s="58">
        <f>+M53</f>
        <v>120.05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1633.32</v>
      </c>
      <c r="H94" s="57"/>
      <c r="I94" s="59">
        <f t="shared" si="9"/>
        <v>1633.32</v>
      </c>
      <c r="M94" s="59">
        <f>+M93+M54</f>
        <v>240.1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2449.98</v>
      </c>
      <c r="H95" s="57"/>
      <c r="I95" s="59">
        <f t="shared" si="9"/>
        <v>2449.98</v>
      </c>
      <c r="M95" s="59">
        <f t="shared" ref="M95:M104" si="14">+M94+M55</f>
        <v>360.15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3266.64</v>
      </c>
      <c r="H96" s="57"/>
      <c r="I96" s="59">
        <f t="shared" si="9"/>
        <v>3266.64</v>
      </c>
      <c r="M96" s="59">
        <f t="shared" si="14"/>
        <v>480.2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4083.2999999999997</v>
      </c>
      <c r="H97" s="57"/>
      <c r="I97" s="59">
        <f t="shared" si="9"/>
        <v>4083.2999999999997</v>
      </c>
      <c r="M97" s="59">
        <f t="shared" si="14"/>
        <v>600.25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4899.96</v>
      </c>
      <c r="H98" s="57"/>
      <c r="I98" s="59">
        <f t="shared" si="9"/>
        <v>4899.96</v>
      </c>
      <c r="M98" s="59">
        <f t="shared" si="14"/>
        <v>720.3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5716.62</v>
      </c>
      <c r="H99" s="57"/>
      <c r="I99" s="59">
        <f t="shared" si="9"/>
        <v>5716.62</v>
      </c>
      <c r="M99" s="59">
        <f t="shared" si="14"/>
        <v>840.34999999999991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6533.28</v>
      </c>
      <c r="H100" s="57"/>
      <c r="I100" s="59">
        <f t="shared" si="9"/>
        <v>6533.28</v>
      </c>
      <c r="M100" s="59">
        <f t="shared" si="14"/>
        <v>960.39999999999986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7349.94</v>
      </c>
      <c r="H101" s="57"/>
      <c r="I101" s="59">
        <f t="shared" si="9"/>
        <v>7349.94</v>
      </c>
      <c r="M101" s="59">
        <f t="shared" si="14"/>
        <v>1080.4499999999998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8166.5999999999995</v>
      </c>
      <c r="H102" s="57"/>
      <c r="I102" s="59">
        <f t="shared" si="9"/>
        <v>8166.5999999999995</v>
      </c>
      <c r="M102" s="59">
        <f t="shared" si="14"/>
        <v>1200.4899999999998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8983.26</v>
      </c>
      <c r="H103" s="57"/>
      <c r="I103" s="59">
        <f t="shared" si="9"/>
        <v>8983.26</v>
      </c>
      <c r="M103" s="59">
        <f t="shared" si="14"/>
        <v>1320.5299999999997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9799.92</v>
      </c>
      <c r="H104" s="57"/>
      <c r="I104" s="61">
        <f t="shared" si="9"/>
        <v>9799.92</v>
      </c>
      <c r="M104" s="61">
        <f t="shared" si="14"/>
        <v>1440.5699999999997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63699.479999999996</v>
      </c>
      <c r="H105" s="64"/>
      <c r="I105" s="63">
        <f>SUM(I93:I104)</f>
        <v>63699.479999999996</v>
      </c>
      <c r="M105" s="63">
        <f>SUM(M93:M104)</f>
        <v>9363.84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5308.29</v>
      </c>
      <c r="H107" s="64"/>
      <c r="I107" s="66">
        <f>ROUND(+I105/12,2)</f>
        <v>5308.29</v>
      </c>
      <c r="M107" s="66">
        <f>ROUND(+M105/12,2)</f>
        <v>780.32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5308.29</v>
      </c>
      <c r="M110" s="78">
        <f>+M107</f>
        <v>780.32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263</v>
      </c>
      <c r="M112" s="62" t="s">
        <v>264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view="pageLayout" topLeftCell="A39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5.570312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1.75" customHeight="1">
      <c r="A3" s="119" t="str">
        <f>'G9B6U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'G9B6U Input'!F6</f>
        <v>Tea-Sioux Falls Hwy 106 Tie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'G9B6U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"&amp;'G9B6U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'G9B6U TotalWO'!C15</f>
        <v>44180</v>
      </c>
      <c r="D15" s="55"/>
      <c r="E15" s="56">
        <f>'G9B6U TotalWO'!E15*'G9B6U Input'!$H$13</f>
        <v>0</v>
      </c>
      <c r="F15" s="68"/>
      <c r="G15" s="56">
        <f>'G9B6U TotalWO'!G15*'G9B6U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'G9B6U TotalWO'!C16</f>
        <v>44211</v>
      </c>
      <c r="D16" s="55"/>
      <c r="E16" s="58">
        <f>'G9B6U TotalWO'!E16*'G9B6U Input'!$H$13</f>
        <v>0</v>
      </c>
      <c r="F16" s="68"/>
      <c r="G16" s="58">
        <f>'G9B6U TotalWO'!G16*'G9B6U Input'!$H$13</f>
        <v>451893</v>
      </c>
      <c r="H16" s="59"/>
      <c r="I16" s="58">
        <f t="shared" si="0"/>
        <v>451893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'G9B6U TotalWO'!E17*'G9B6U Input'!$H$13</f>
        <v>0</v>
      </c>
      <c r="F17" s="68"/>
      <c r="G17" s="68">
        <f>'G9B6U TotalWO'!G17*'G9B6U Input'!$H$13</f>
        <v>451893</v>
      </c>
      <c r="H17" s="59"/>
      <c r="I17" s="59">
        <f t="shared" si="0"/>
        <v>451893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'G9B6U TotalWO'!E18*'G9B6U Input'!$H$13</f>
        <v>0</v>
      </c>
      <c r="F18" s="68"/>
      <c r="G18" s="68">
        <f>'G9B6U TotalWO'!G18*'G9B6U Input'!$H$13</f>
        <v>451893</v>
      </c>
      <c r="H18" s="59"/>
      <c r="I18" s="59">
        <f t="shared" si="0"/>
        <v>451893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'G9B6U TotalWO'!E19*'G9B6U Input'!$H$13</f>
        <v>0</v>
      </c>
      <c r="F19" s="68"/>
      <c r="G19" s="68">
        <f>'G9B6U TotalWO'!G19*'G9B6U Input'!$H$13</f>
        <v>451893</v>
      </c>
      <c r="H19" s="59"/>
      <c r="I19" s="59">
        <f t="shared" si="0"/>
        <v>451893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'G9B6U TotalWO'!E20*'G9B6U Input'!$H$13</f>
        <v>0</v>
      </c>
      <c r="F20" s="68"/>
      <c r="G20" s="68">
        <f>'G9B6U TotalWO'!G20*'G9B6U Input'!$H$13</f>
        <v>451893</v>
      </c>
      <c r="H20" s="59"/>
      <c r="I20" s="59">
        <f t="shared" si="0"/>
        <v>451893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'G9B6U TotalWO'!E21*'G9B6U Input'!$H$13</f>
        <v>0</v>
      </c>
      <c r="F21" s="68"/>
      <c r="G21" s="68">
        <f>'G9B6U TotalWO'!G21*'G9B6U Input'!$H$13</f>
        <v>451893</v>
      </c>
      <c r="H21" s="59"/>
      <c r="I21" s="59">
        <f t="shared" si="0"/>
        <v>451893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'G9B6U TotalWO'!E22*'G9B6U Input'!$H$13</f>
        <v>0</v>
      </c>
      <c r="F22" s="68"/>
      <c r="G22" s="68">
        <f>'G9B6U TotalWO'!G22*'G9B6U Input'!$H$13</f>
        <v>451893</v>
      </c>
      <c r="H22" s="59"/>
      <c r="I22" s="59">
        <f t="shared" si="0"/>
        <v>451893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'G9B6U TotalWO'!E23*'G9B6U Input'!$H$13</f>
        <v>0</v>
      </c>
      <c r="F23" s="68"/>
      <c r="G23" s="68">
        <f>'G9B6U TotalWO'!G23*'G9B6U Input'!$H$13</f>
        <v>451893</v>
      </c>
      <c r="H23" s="59"/>
      <c r="I23" s="59">
        <f t="shared" si="0"/>
        <v>451893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'G9B6U TotalWO'!E24*'G9B6U Input'!$H$13</f>
        <v>0</v>
      </c>
      <c r="F24" s="68"/>
      <c r="G24" s="68">
        <f>'G9B6U TotalWO'!G24*'G9B6U Input'!$H$13</f>
        <v>451893</v>
      </c>
      <c r="H24" s="59"/>
      <c r="I24" s="59">
        <f t="shared" si="0"/>
        <v>451893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'G9B6U TotalWO'!E25*'G9B6U Input'!$H$13</f>
        <v>0</v>
      </c>
      <c r="F25" s="68"/>
      <c r="G25" s="68">
        <f>'G9B6U TotalWO'!G25*'G9B6U Input'!$H$13</f>
        <v>451893</v>
      </c>
      <c r="H25" s="59"/>
      <c r="I25" s="59">
        <f t="shared" si="0"/>
        <v>451893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'G9B6U TotalWO'!E26*'G9B6U Input'!$H$13</f>
        <v>0</v>
      </c>
      <c r="F26" s="68"/>
      <c r="G26" s="68">
        <f>'G9B6U TotalWO'!G26*'G9B6U Input'!$H$13</f>
        <v>451893</v>
      </c>
      <c r="H26" s="59"/>
      <c r="I26" s="59">
        <f t="shared" si="0"/>
        <v>451893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'G9B6U TotalWO'!E27*'G9B6U Input'!$H$13</f>
        <v>0</v>
      </c>
      <c r="F27" s="68"/>
      <c r="G27" s="71">
        <f>'G9B6U TotalWO'!G27*'G9B6U Input'!$H$13</f>
        <v>451893</v>
      </c>
      <c r="H27" s="59"/>
      <c r="I27" s="61">
        <f t="shared" si="0"/>
        <v>451893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5422716</v>
      </c>
      <c r="H28" s="64"/>
      <c r="I28" s="63">
        <f>SUM(I16:I27)</f>
        <v>5422716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451893</v>
      </c>
      <c r="H30" s="64"/>
      <c r="I30" s="66">
        <f>ROUND(+I28/12,2)</f>
        <v>451893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451893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118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1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Tea-Sioux Falls Hwy 106 Tie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830.69</v>
      </c>
      <c r="H53" s="64"/>
      <c r="I53" s="63">
        <f t="shared" ref="I53:I64" si="4">G53-E53</f>
        <v>830.69</v>
      </c>
      <c r="K53" s="58"/>
      <c r="M53" s="63">
        <f>+ROUND(I53/I$67*M$67,2)</f>
        <v>122.11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830.69</v>
      </c>
      <c r="H54" s="57"/>
      <c r="I54" s="59">
        <f t="shared" si="4"/>
        <v>830.69</v>
      </c>
      <c r="M54" s="59">
        <f t="shared" ref="M54:M63" si="8">+ROUND(I54/I$67*M$67,2)</f>
        <v>122.11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830.69</v>
      </c>
      <c r="H55" s="57"/>
      <c r="I55" s="59">
        <f t="shared" si="4"/>
        <v>830.69</v>
      </c>
      <c r="M55" s="59">
        <f t="shared" si="8"/>
        <v>122.11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830.69</v>
      </c>
      <c r="H56" s="57"/>
      <c r="I56" s="59">
        <f t="shared" si="4"/>
        <v>830.69</v>
      </c>
      <c r="M56" s="59">
        <f t="shared" si="8"/>
        <v>122.11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830.69</v>
      </c>
      <c r="H57" s="57"/>
      <c r="I57" s="59">
        <f t="shared" si="4"/>
        <v>830.69</v>
      </c>
      <c r="M57" s="59">
        <f t="shared" si="8"/>
        <v>122.11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830.69</v>
      </c>
      <c r="H58" s="57"/>
      <c r="I58" s="59">
        <f t="shared" si="4"/>
        <v>830.69</v>
      </c>
      <c r="M58" s="59">
        <f t="shared" si="8"/>
        <v>122.11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830.69</v>
      </c>
      <c r="H59" s="57"/>
      <c r="I59" s="59">
        <f t="shared" si="4"/>
        <v>830.69</v>
      </c>
      <c r="M59" s="59">
        <f t="shared" si="8"/>
        <v>122.11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830.69</v>
      </c>
      <c r="H60" s="57"/>
      <c r="I60" s="59">
        <f t="shared" si="4"/>
        <v>830.69</v>
      </c>
      <c r="M60" s="59">
        <f t="shared" si="8"/>
        <v>122.11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830.69</v>
      </c>
      <c r="H61" s="57"/>
      <c r="I61" s="59">
        <f t="shared" si="4"/>
        <v>830.69</v>
      </c>
      <c r="M61" s="59">
        <f t="shared" si="8"/>
        <v>122.11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830.69</v>
      </c>
      <c r="H62" s="57"/>
      <c r="I62" s="59">
        <f t="shared" si="4"/>
        <v>830.69</v>
      </c>
      <c r="M62" s="59">
        <f t="shared" si="8"/>
        <v>122.11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830.69</v>
      </c>
      <c r="H63" s="57"/>
      <c r="I63" s="59">
        <f t="shared" si="4"/>
        <v>830.69</v>
      </c>
      <c r="M63" s="59">
        <f t="shared" si="8"/>
        <v>122.11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830.69</v>
      </c>
      <c r="H64" s="57"/>
      <c r="I64" s="61">
        <f t="shared" si="4"/>
        <v>830.69</v>
      </c>
      <c r="M64" s="61">
        <f>+ROUND(I64/I$67*M$67,2)+0.01</f>
        <v>122.12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9968.2800000000043</v>
      </c>
      <c r="H65" s="64"/>
      <c r="I65" s="63">
        <f>SUM(I53:I64)</f>
        <v>9968.2800000000043</v>
      </c>
      <c r="M65" s="63">
        <f>SUM(M53:M64)</f>
        <v>1465.33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9968.2800000000043</v>
      </c>
      <c r="K67" s="66">
        <f>ROUND(G16*K73,2)</f>
        <v>16945.990000000002</v>
      </c>
      <c r="M67" s="66">
        <f>ROUND(+(K67-I67)*M73,2)</f>
        <v>1465.32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125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'G9B6U Input'!J13</f>
        <v>2.2058823529411766E-2</v>
      </c>
      <c r="F73" s="76"/>
      <c r="G73" s="76">
        <f>E73/12</f>
        <v>1.8382352941176473E-3</v>
      </c>
      <c r="K73" s="86">
        <f>+'G9B6U Input'!L13</f>
        <v>3.7499999999999999E-2</v>
      </c>
      <c r="M73" s="86">
        <f>+'G9B6U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Tea-Sioux Falls Hwy 106 Tie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830.69</v>
      </c>
      <c r="H93" s="57"/>
      <c r="I93" s="58">
        <f t="shared" si="9"/>
        <v>830.69</v>
      </c>
      <c r="M93" s="58">
        <f>+M53</f>
        <v>122.11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1661.38</v>
      </c>
      <c r="H94" s="57"/>
      <c r="I94" s="59">
        <f t="shared" si="9"/>
        <v>1661.38</v>
      </c>
      <c r="M94" s="59">
        <f>+M93+M54</f>
        <v>244.22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2492.0700000000002</v>
      </c>
      <c r="H95" s="57"/>
      <c r="I95" s="59">
        <f t="shared" si="9"/>
        <v>2492.0700000000002</v>
      </c>
      <c r="M95" s="59">
        <f t="shared" ref="M95:M104" si="14">+M94+M55</f>
        <v>366.33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3322.76</v>
      </c>
      <c r="H96" s="57"/>
      <c r="I96" s="59">
        <f t="shared" si="9"/>
        <v>3322.76</v>
      </c>
      <c r="M96" s="59">
        <f t="shared" si="14"/>
        <v>488.44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4153.4500000000007</v>
      </c>
      <c r="H97" s="57"/>
      <c r="I97" s="59">
        <f t="shared" si="9"/>
        <v>4153.4500000000007</v>
      </c>
      <c r="M97" s="59">
        <f t="shared" si="14"/>
        <v>610.54999999999995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4984.1400000000012</v>
      </c>
      <c r="H98" s="57"/>
      <c r="I98" s="59">
        <f t="shared" si="9"/>
        <v>4984.1400000000012</v>
      </c>
      <c r="M98" s="59">
        <f t="shared" si="14"/>
        <v>732.66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5814.8300000000017</v>
      </c>
      <c r="H99" s="57"/>
      <c r="I99" s="59">
        <f t="shared" si="9"/>
        <v>5814.8300000000017</v>
      </c>
      <c r="M99" s="59">
        <f t="shared" si="14"/>
        <v>854.77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6645.5200000000023</v>
      </c>
      <c r="H100" s="57"/>
      <c r="I100" s="59">
        <f t="shared" si="9"/>
        <v>6645.5200000000023</v>
      </c>
      <c r="M100" s="59">
        <f t="shared" si="14"/>
        <v>976.88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7476.2100000000028</v>
      </c>
      <c r="H101" s="57"/>
      <c r="I101" s="59">
        <f t="shared" si="9"/>
        <v>7476.2100000000028</v>
      </c>
      <c r="M101" s="59">
        <f t="shared" si="14"/>
        <v>1098.99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8306.9000000000033</v>
      </c>
      <c r="H102" s="57"/>
      <c r="I102" s="59">
        <f t="shared" si="9"/>
        <v>8306.9000000000033</v>
      </c>
      <c r="M102" s="59">
        <f t="shared" si="14"/>
        <v>1221.0999999999999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9137.5900000000038</v>
      </c>
      <c r="H103" s="57"/>
      <c r="I103" s="59">
        <f t="shared" si="9"/>
        <v>9137.5900000000038</v>
      </c>
      <c r="M103" s="59">
        <f t="shared" si="14"/>
        <v>1343.2099999999998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9968.2800000000043</v>
      </c>
      <c r="H104" s="57"/>
      <c r="I104" s="61">
        <f t="shared" si="9"/>
        <v>9968.2800000000043</v>
      </c>
      <c r="M104" s="61">
        <f t="shared" si="14"/>
        <v>1465.33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64793.820000000029</v>
      </c>
      <c r="H105" s="64"/>
      <c r="I105" s="63">
        <f>SUM(I93:I104)</f>
        <v>64793.820000000029</v>
      </c>
      <c r="M105" s="63">
        <f>SUM(M93:M104)</f>
        <v>9524.59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5399.49</v>
      </c>
      <c r="H107" s="64"/>
      <c r="I107" s="66">
        <f>ROUND(+I105/12,2)</f>
        <v>5399.49</v>
      </c>
      <c r="M107" s="66">
        <f>ROUND(+M105/12,2)</f>
        <v>793.72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5399.49</v>
      </c>
      <c r="M110" s="78">
        <f>+M107</f>
        <v>793.72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140</v>
      </c>
      <c r="M112" s="62" t="s">
        <v>141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74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140625" style="80" customWidth="1"/>
    <col min="2" max="2" width="0.85546875" style="80" customWidth="1"/>
    <col min="3" max="3" width="9.140625" style="80"/>
    <col min="4" max="4" width="0.85546875" style="80" customWidth="1"/>
    <col min="5" max="6" width="9.140625" style="80"/>
    <col min="7" max="7" width="17" style="80" customWidth="1"/>
    <col min="8" max="8" width="16.7109375" style="80" customWidth="1"/>
    <col min="9" max="9" width="14.42578125" style="80" customWidth="1"/>
    <col min="10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5.5" customHeight="1">
      <c r="A3" s="121" t="str">
        <f>'G99HL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'G99HL Input'!F6</f>
        <v>SFS W 85th St HP: Tea-Sundown'r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 W 85th St HP: Tea-Sundown'r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1:L1"/>
    <mergeCell ref="A2:L2"/>
    <mergeCell ref="A3:L3"/>
    <mergeCell ref="A4:L4"/>
    <mergeCell ref="A5:L5"/>
    <mergeCell ref="A73:L73"/>
    <mergeCell ref="A74:L74"/>
    <mergeCell ref="A6:L6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&amp;C&amp;8MidAmerican Exhibit ASR 1.1, WP C
Page &amp;P of &amp;N</oddFooter>
  </headerFooter>
  <rowBreaks count="1" manualBreakCount="1">
    <brk id="64" max="10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265</v>
      </c>
      <c r="E6" s="34"/>
      <c r="F6" s="127" t="s">
        <v>266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45231</v>
      </c>
    </row>
    <row r="28" spans="1:10">
      <c r="A28" s="36">
        <v>16</v>
      </c>
      <c r="B28" s="34" t="s">
        <v>97</v>
      </c>
      <c r="D28" s="108">
        <v>373511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267</v>
      </c>
    </row>
    <row r="33" spans="2:2">
      <c r="B33" s="44" t="s">
        <v>268</v>
      </c>
    </row>
    <row r="34" spans="2:2">
      <c r="B34" s="44" t="s">
        <v>269</v>
      </c>
    </row>
    <row r="35" spans="2:2">
      <c r="B35" s="44" t="s">
        <v>270</v>
      </c>
    </row>
    <row r="36" spans="2:2">
      <c r="B36" s="44" t="s">
        <v>271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1.75" customHeight="1">
      <c r="A3" s="49" t="str">
        <f>'G9BAM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'G9BAM Input'!F6</f>
        <v>SFS: Minnesota Ave 2nd-10th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'G9BAM Input'!B13</f>
        <v>44180</v>
      </c>
      <c r="D15" s="55"/>
      <c r="E15" s="56">
        <f>'G9BAM Input'!D13*'G9BAM Input'!$D$7*'G9BAM Input'!$H$7</f>
        <v>0</v>
      </c>
      <c r="F15" s="57"/>
      <c r="G15" s="56">
        <f>'G9BAM Input'!D27*'G9BAM Input'!D6*'G9BAM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'G9BAM Input'!B14</f>
        <v>44211</v>
      </c>
      <c r="D16" s="55"/>
      <c r="E16" s="58">
        <f>'G9BAM Input'!D14*'G9BAM Input'!$D$7*'G9BAM Input'!$H$7</f>
        <v>0</v>
      </c>
      <c r="F16" s="57"/>
      <c r="G16" s="58">
        <f>'G9BAM Input'!D28*'G9BAM Input'!D7*'G9BAM Input'!H7</f>
        <v>373511</v>
      </c>
      <c r="H16" s="57"/>
      <c r="I16" s="58">
        <f t="shared" si="0"/>
        <v>373511</v>
      </c>
    </row>
    <row r="17" spans="1:10">
      <c r="A17" s="48">
        <f t="shared" si="1"/>
        <v>3</v>
      </c>
      <c r="C17" s="55">
        <f>'G9BAM Input'!B15</f>
        <v>44241</v>
      </c>
      <c r="D17" s="55"/>
      <c r="E17" s="58">
        <f>'G9BAM Input'!D15*'G9BAM Input'!$D$7*'G9BAM Input'!$H$7</f>
        <v>0</v>
      </c>
      <c r="F17" s="57"/>
      <c r="G17" s="59">
        <f t="shared" ref="G17:G27" si="2">$G$16</f>
        <v>373511</v>
      </c>
      <c r="H17" s="57"/>
      <c r="I17" s="59">
        <f t="shared" si="0"/>
        <v>373511</v>
      </c>
      <c r="J17" s="57"/>
    </row>
    <row r="18" spans="1:10">
      <c r="A18" s="48">
        <f t="shared" si="1"/>
        <v>4</v>
      </c>
      <c r="C18" s="55">
        <f>'G9BAM Input'!B16</f>
        <v>44271</v>
      </c>
      <c r="D18" s="55"/>
      <c r="E18" s="58">
        <f>'G9BAM Input'!D16*'G9BAM Input'!$D$7*'G9BAM Input'!$H$7</f>
        <v>0</v>
      </c>
      <c r="F18" s="57"/>
      <c r="G18" s="59">
        <f t="shared" si="2"/>
        <v>373511</v>
      </c>
      <c r="H18" s="57"/>
      <c r="I18" s="59">
        <f t="shared" si="0"/>
        <v>373511</v>
      </c>
      <c r="J18" s="57"/>
    </row>
    <row r="19" spans="1:10">
      <c r="A19" s="48">
        <f t="shared" si="1"/>
        <v>5</v>
      </c>
      <c r="C19" s="55">
        <f>'G9BAM Input'!B17</f>
        <v>44301</v>
      </c>
      <c r="D19" s="55"/>
      <c r="E19" s="58">
        <f>'G9BAM Input'!D17*'G9BAM Input'!$D$7*'G9BAM Input'!$H$7</f>
        <v>0</v>
      </c>
      <c r="F19" s="57"/>
      <c r="G19" s="59">
        <f t="shared" si="2"/>
        <v>373511</v>
      </c>
      <c r="H19" s="57"/>
      <c r="I19" s="59">
        <f t="shared" si="0"/>
        <v>373511</v>
      </c>
      <c r="J19" s="57"/>
    </row>
    <row r="20" spans="1:10">
      <c r="A20" s="48">
        <f t="shared" si="1"/>
        <v>6</v>
      </c>
      <c r="C20" s="55">
        <f>'G9BAM Input'!B18</f>
        <v>44331</v>
      </c>
      <c r="D20" s="55"/>
      <c r="E20" s="58">
        <f>'G9BAM Input'!D18*'G9BAM Input'!$D$7*'G9BAM Input'!$H$7</f>
        <v>0</v>
      </c>
      <c r="F20" s="57"/>
      <c r="G20" s="59">
        <f t="shared" si="2"/>
        <v>373511</v>
      </c>
      <c r="H20" s="57"/>
      <c r="I20" s="59">
        <f t="shared" si="0"/>
        <v>373511</v>
      </c>
      <c r="J20" s="57"/>
    </row>
    <row r="21" spans="1:10">
      <c r="A21" s="48">
        <f t="shared" si="1"/>
        <v>7</v>
      </c>
      <c r="C21" s="55">
        <f>'G9BAM Input'!B19</f>
        <v>44361</v>
      </c>
      <c r="D21" s="55"/>
      <c r="E21" s="58">
        <f>'G9BAM Input'!D19*'G9BAM Input'!$D$7*'G9BAM Input'!$H$7</f>
        <v>0</v>
      </c>
      <c r="F21" s="57"/>
      <c r="G21" s="59">
        <f t="shared" si="2"/>
        <v>373511</v>
      </c>
      <c r="H21" s="57"/>
      <c r="I21" s="59">
        <f t="shared" si="0"/>
        <v>373511</v>
      </c>
      <c r="J21" s="57"/>
    </row>
    <row r="22" spans="1:10">
      <c r="A22" s="48">
        <f t="shared" si="1"/>
        <v>8</v>
      </c>
      <c r="C22" s="55">
        <f>'G9BAM Input'!B20</f>
        <v>44391</v>
      </c>
      <c r="D22" s="55"/>
      <c r="E22" s="58">
        <f>'G9BAM Input'!D20*'G9BAM Input'!$D$7*'G9BAM Input'!$H$7</f>
        <v>0</v>
      </c>
      <c r="F22" s="57"/>
      <c r="G22" s="59">
        <f t="shared" si="2"/>
        <v>373511</v>
      </c>
      <c r="H22" s="57"/>
      <c r="I22" s="59">
        <f t="shared" si="0"/>
        <v>373511</v>
      </c>
      <c r="J22" s="57"/>
    </row>
    <row r="23" spans="1:10">
      <c r="A23" s="48">
        <f t="shared" si="1"/>
        <v>9</v>
      </c>
      <c r="C23" s="55">
        <f>'G9BAM Input'!B21</f>
        <v>44421</v>
      </c>
      <c r="D23" s="55"/>
      <c r="E23" s="58">
        <f>'G9BAM Input'!D21*'G9BAM Input'!$D$7*'G9BAM Input'!$H$7</f>
        <v>0</v>
      </c>
      <c r="F23" s="57"/>
      <c r="G23" s="59">
        <f t="shared" si="2"/>
        <v>373511</v>
      </c>
      <c r="H23" s="57"/>
      <c r="I23" s="59">
        <f t="shared" si="0"/>
        <v>373511</v>
      </c>
      <c r="J23" s="57"/>
    </row>
    <row r="24" spans="1:10">
      <c r="A24" s="48">
        <f t="shared" si="1"/>
        <v>10</v>
      </c>
      <c r="C24" s="55">
        <f>'G9BAM Input'!B22</f>
        <v>44451</v>
      </c>
      <c r="D24" s="55"/>
      <c r="E24" s="58">
        <f>'G9BAM Input'!D22*'G9BAM Input'!$D$7*'G9BAM Input'!$H$7</f>
        <v>0</v>
      </c>
      <c r="F24" s="57"/>
      <c r="G24" s="59">
        <f t="shared" si="2"/>
        <v>373511</v>
      </c>
      <c r="H24" s="57"/>
      <c r="I24" s="59">
        <f t="shared" si="0"/>
        <v>373511</v>
      </c>
      <c r="J24" s="57"/>
    </row>
    <row r="25" spans="1:10">
      <c r="A25" s="48">
        <f t="shared" si="1"/>
        <v>11</v>
      </c>
      <c r="C25" s="55">
        <f>'G9BAM Input'!B23</f>
        <v>44481</v>
      </c>
      <c r="D25" s="55"/>
      <c r="E25" s="58">
        <f>'G9BAM Input'!D23*'G9BAM Input'!$D$7*'G9BAM Input'!$H$7</f>
        <v>0</v>
      </c>
      <c r="F25" s="57"/>
      <c r="G25" s="59">
        <f t="shared" si="2"/>
        <v>373511</v>
      </c>
      <c r="H25" s="57"/>
      <c r="I25" s="59">
        <f t="shared" si="0"/>
        <v>373511</v>
      </c>
      <c r="J25" s="57"/>
    </row>
    <row r="26" spans="1:10">
      <c r="A26" s="48">
        <f t="shared" si="1"/>
        <v>12</v>
      </c>
      <c r="C26" s="55">
        <f>'G9BAM Input'!B24</f>
        <v>44511</v>
      </c>
      <c r="D26" s="55"/>
      <c r="E26" s="58">
        <f>'G9BAM Input'!D24*'G9BAM Input'!$D$7*'G9BAM Input'!$H$7</f>
        <v>0</v>
      </c>
      <c r="F26" s="57"/>
      <c r="G26" s="59">
        <f t="shared" si="2"/>
        <v>373511</v>
      </c>
      <c r="H26" s="57"/>
      <c r="I26" s="59">
        <f t="shared" si="0"/>
        <v>373511</v>
      </c>
      <c r="J26" s="57"/>
    </row>
    <row r="27" spans="1:10">
      <c r="A27" s="48">
        <f t="shared" si="1"/>
        <v>13</v>
      </c>
      <c r="C27" s="55">
        <f>'G9BAM Input'!B25</f>
        <v>44541</v>
      </c>
      <c r="D27" s="55"/>
      <c r="E27" s="60">
        <f>'G9BAM Input'!D25*'G9BAM Input'!$D$7*'G9BAM Input'!$H$7</f>
        <v>0</v>
      </c>
      <c r="F27" s="57"/>
      <c r="G27" s="61">
        <f t="shared" si="2"/>
        <v>373511</v>
      </c>
      <c r="H27" s="57"/>
      <c r="I27" s="61">
        <f t="shared" si="0"/>
        <v>373511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4482132</v>
      </c>
      <c r="H28" s="64"/>
      <c r="I28" s="63">
        <f>SUM(I16:I27)</f>
        <v>4482132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373511</v>
      </c>
      <c r="H30" s="64"/>
      <c r="I30" s="66">
        <f>ROUND(+I28/12,2)</f>
        <v>373511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373511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3">
      <c r="A1" s="45"/>
      <c r="B1" s="45"/>
      <c r="C1" s="46"/>
      <c r="D1" s="46"/>
      <c r="E1" s="46"/>
      <c r="F1" s="46"/>
      <c r="G1" s="46"/>
      <c r="H1" s="46"/>
      <c r="I1" s="46"/>
    </row>
    <row r="2" spans="1:13">
      <c r="A2" s="118"/>
      <c r="B2" s="118"/>
      <c r="C2" s="118"/>
      <c r="D2" s="118"/>
      <c r="E2" s="118"/>
      <c r="F2" s="118"/>
      <c r="G2" s="118"/>
      <c r="H2" s="118"/>
      <c r="I2" s="118"/>
    </row>
    <row r="3" spans="1:13" ht="22.5" customHeight="1">
      <c r="A3" s="119" t="str">
        <f>'G9BAM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3">
      <c r="A4" s="45"/>
      <c r="B4" s="45"/>
      <c r="C4" s="46"/>
      <c r="D4" s="46"/>
      <c r="E4" s="46"/>
      <c r="F4" s="46"/>
      <c r="G4" s="46"/>
      <c r="H4" s="46"/>
      <c r="I4" s="46"/>
    </row>
    <row r="5" spans="1:13">
      <c r="A5" s="49"/>
      <c r="B5" s="49"/>
      <c r="C5" s="47"/>
      <c r="D5" s="47"/>
      <c r="E5" s="47"/>
      <c r="F5" s="47"/>
      <c r="G5" s="47"/>
      <c r="H5" s="47"/>
      <c r="I5" s="47"/>
    </row>
    <row r="6" spans="1:13">
      <c r="A6" s="120" t="str">
        <f>'G9BAM Input'!F6</f>
        <v>SFS: Minnesota Ave 2nd-10th</v>
      </c>
      <c r="B6" s="120"/>
      <c r="C6" s="120"/>
      <c r="D6" s="120"/>
      <c r="E6" s="120"/>
      <c r="F6" s="120"/>
      <c r="G6" s="120"/>
      <c r="H6" s="120"/>
      <c r="I6" s="120"/>
    </row>
    <row r="7" spans="1:13">
      <c r="A7" s="99"/>
      <c r="B7" s="99"/>
      <c r="C7" s="99"/>
      <c r="D7" s="99"/>
      <c r="E7" s="99"/>
      <c r="F7" s="99"/>
      <c r="G7" s="99"/>
      <c r="H7" s="99"/>
      <c r="I7" s="99"/>
      <c r="M7" s="101"/>
    </row>
    <row r="8" spans="1:13">
      <c r="A8" s="49" t="str">
        <f>'G9BAM TotalWO'!A8</f>
        <v>PLANT IN SERVICE</v>
      </c>
      <c r="B8" s="49"/>
      <c r="C8" s="47"/>
      <c r="D8" s="47"/>
      <c r="E8" s="47"/>
      <c r="F8" s="47"/>
      <c r="G8" s="47"/>
      <c r="H8" s="47"/>
      <c r="I8" s="47"/>
      <c r="M8" s="101"/>
    </row>
    <row r="9" spans="1:13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3" ht="12" thickBot="1">
      <c r="A11" s="75" t="s">
        <v>108</v>
      </c>
      <c r="E11" s="51" t="str">
        <f>"Acct "&amp;'G9BAM Input'!F13</f>
        <v>Acct 2.376.00</v>
      </c>
      <c r="F11" s="51"/>
      <c r="G11" s="51"/>
      <c r="H11" s="51"/>
      <c r="I11" s="51"/>
    </row>
    <row r="12" spans="1:13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3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3">
      <c r="A14" s="54"/>
      <c r="B14" s="53"/>
      <c r="C14" s="54"/>
      <c r="D14" s="53"/>
      <c r="E14" s="54"/>
      <c r="F14" s="53"/>
      <c r="G14" s="54"/>
      <c r="H14" s="53"/>
      <c r="I14" s="54"/>
    </row>
    <row r="15" spans="1:13">
      <c r="A15" s="48">
        <v>1</v>
      </c>
      <c r="C15" s="55">
        <f>'G9BAM TotalWO'!C15</f>
        <v>44180</v>
      </c>
      <c r="D15" s="55"/>
      <c r="E15" s="56">
        <f>'G9BAM TotalWO'!E15*'G9BAM Input'!$H$13</f>
        <v>0</v>
      </c>
      <c r="F15" s="68"/>
      <c r="G15" s="56">
        <f>'G9BAM TotalWO'!G15*'G9BAM Input'!$H$13</f>
        <v>0</v>
      </c>
      <c r="H15" s="59"/>
      <c r="I15" s="56">
        <f t="shared" ref="I15:I27" si="0">G15-E15</f>
        <v>0</v>
      </c>
    </row>
    <row r="16" spans="1:13">
      <c r="A16" s="48">
        <f t="shared" ref="A16:A38" si="1">1+A15</f>
        <v>2</v>
      </c>
      <c r="C16" s="55">
        <f>'G9BAM TotalWO'!C16</f>
        <v>44211</v>
      </c>
      <c r="D16" s="55"/>
      <c r="E16" s="58">
        <f>'G9BAM TotalWO'!E16*'G9BAM Input'!$H$13</f>
        <v>0</v>
      </c>
      <c r="F16" s="68"/>
      <c r="G16" s="58">
        <f>'G9BAM TotalWO'!G16*'G9BAM Input'!$H$13</f>
        <v>373511</v>
      </c>
      <c r="H16" s="59"/>
      <c r="I16" s="58">
        <f t="shared" si="0"/>
        <v>373511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'G9BAM TotalWO'!E17*'G9BAM Input'!$H$13</f>
        <v>0</v>
      </c>
      <c r="F17" s="68"/>
      <c r="G17" s="68">
        <f>'G9BAM TotalWO'!G17*'G9BAM Input'!$H$13</f>
        <v>373511</v>
      </c>
      <c r="H17" s="59"/>
      <c r="I17" s="59">
        <f t="shared" si="0"/>
        <v>373511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'G9BAM TotalWO'!E18*'G9BAM Input'!$H$13</f>
        <v>0</v>
      </c>
      <c r="F18" s="68"/>
      <c r="G18" s="68">
        <f>'G9BAM TotalWO'!G18*'G9BAM Input'!$H$13</f>
        <v>373511</v>
      </c>
      <c r="H18" s="59"/>
      <c r="I18" s="59">
        <f t="shared" si="0"/>
        <v>373511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'G9BAM TotalWO'!E19*'G9BAM Input'!$H$13</f>
        <v>0</v>
      </c>
      <c r="F19" s="68"/>
      <c r="G19" s="68">
        <f>'G9BAM TotalWO'!G19*'G9BAM Input'!$H$13</f>
        <v>373511</v>
      </c>
      <c r="H19" s="59"/>
      <c r="I19" s="59">
        <f t="shared" si="0"/>
        <v>373511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'G9BAM TotalWO'!E20*'G9BAM Input'!$H$13</f>
        <v>0</v>
      </c>
      <c r="F20" s="68"/>
      <c r="G20" s="68">
        <f>'G9BAM TotalWO'!G20*'G9BAM Input'!$H$13</f>
        <v>373511</v>
      </c>
      <c r="H20" s="59"/>
      <c r="I20" s="59">
        <f t="shared" si="0"/>
        <v>373511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'G9BAM TotalWO'!E21*'G9BAM Input'!$H$13</f>
        <v>0</v>
      </c>
      <c r="F21" s="68"/>
      <c r="G21" s="68">
        <f>'G9BAM TotalWO'!G21*'G9BAM Input'!$H$13</f>
        <v>373511</v>
      </c>
      <c r="H21" s="59"/>
      <c r="I21" s="59">
        <f t="shared" si="0"/>
        <v>373511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'G9BAM TotalWO'!E22*'G9BAM Input'!$H$13</f>
        <v>0</v>
      </c>
      <c r="F22" s="68"/>
      <c r="G22" s="68">
        <f>'G9BAM TotalWO'!G22*'G9BAM Input'!$H$13</f>
        <v>373511</v>
      </c>
      <c r="H22" s="59"/>
      <c r="I22" s="59">
        <f t="shared" si="0"/>
        <v>373511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'G9BAM TotalWO'!E23*'G9BAM Input'!$H$13</f>
        <v>0</v>
      </c>
      <c r="F23" s="68"/>
      <c r="G23" s="68">
        <f>'G9BAM TotalWO'!G23*'G9BAM Input'!$H$13</f>
        <v>373511</v>
      </c>
      <c r="H23" s="59"/>
      <c r="I23" s="59">
        <f t="shared" si="0"/>
        <v>373511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'G9BAM TotalWO'!E24*'G9BAM Input'!$H$13</f>
        <v>0</v>
      </c>
      <c r="F24" s="68"/>
      <c r="G24" s="68">
        <f>'G9BAM TotalWO'!G24*'G9BAM Input'!$H$13</f>
        <v>373511</v>
      </c>
      <c r="H24" s="59"/>
      <c r="I24" s="59">
        <f t="shared" si="0"/>
        <v>373511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'G9BAM TotalWO'!E25*'G9BAM Input'!$H$13</f>
        <v>0</v>
      </c>
      <c r="F25" s="68"/>
      <c r="G25" s="68">
        <f>'G9BAM TotalWO'!G25*'G9BAM Input'!$H$13</f>
        <v>373511</v>
      </c>
      <c r="H25" s="59"/>
      <c r="I25" s="59">
        <f t="shared" si="0"/>
        <v>373511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'G9BAM TotalWO'!E26*'G9BAM Input'!$H$13</f>
        <v>0</v>
      </c>
      <c r="F26" s="68"/>
      <c r="G26" s="68">
        <f>'G9BAM TotalWO'!G26*'G9BAM Input'!$H$13</f>
        <v>373511</v>
      </c>
      <c r="H26" s="59"/>
      <c r="I26" s="59">
        <f t="shared" si="0"/>
        <v>373511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'G9BAM TotalWO'!E27*'G9BAM Input'!$H$13</f>
        <v>0</v>
      </c>
      <c r="F27" s="68"/>
      <c r="G27" s="71">
        <f>'G9BAM TotalWO'!G27*'G9BAM Input'!$H$13</f>
        <v>373511</v>
      </c>
      <c r="H27" s="59"/>
      <c r="I27" s="61">
        <f t="shared" si="0"/>
        <v>373511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4482132</v>
      </c>
      <c r="H28" s="64"/>
      <c r="I28" s="63">
        <f>SUM(I16:I27)</f>
        <v>4482132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373511</v>
      </c>
      <c r="H30" s="64"/>
      <c r="I30" s="66">
        <f>ROUND(+I28/12,2)</f>
        <v>373511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373511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272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3.2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Minnesota Ave 2nd-10th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686.6</v>
      </c>
      <c r="H53" s="64"/>
      <c r="I53" s="63">
        <f t="shared" ref="I53:I64" si="4">G53-E53</f>
        <v>686.6</v>
      </c>
      <c r="K53" s="58"/>
      <c r="M53" s="17">
        <f>+ROUND(M67/12,2)</f>
        <v>100.93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686.6</v>
      </c>
      <c r="H54" s="57"/>
      <c r="I54" s="59">
        <f t="shared" si="4"/>
        <v>686.6</v>
      </c>
      <c r="M54" s="85">
        <f>+M53</f>
        <v>100.93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686.6</v>
      </c>
      <c r="H55" s="57"/>
      <c r="I55" s="59">
        <f t="shared" si="4"/>
        <v>686.6</v>
      </c>
      <c r="M55" s="85">
        <f t="shared" ref="M55:M63" si="8">+M54</f>
        <v>100.93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686.6</v>
      </c>
      <c r="H56" s="57"/>
      <c r="I56" s="59">
        <f t="shared" si="4"/>
        <v>686.6</v>
      </c>
      <c r="M56" s="85">
        <f t="shared" si="8"/>
        <v>100.93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686.6</v>
      </c>
      <c r="H57" s="57"/>
      <c r="I57" s="59">
        <f t="shared" si="4"/>
        <v>686.6</v>
      </c>
      <c r="M57" s="85">
        <f t="shared" si="8"/>
        <v>100.93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686.6</v>
      </c>
      <c r="H58" s="57"/>
      <c r="I58" s="59">
        <f t="shared" si="4"/>
        <v>686.6</v>
      </c>
      <c r="M58" s="85">
        <f t="shared" si="8"/>
        <v>100.93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686.6</v>
      </c>
      <c r="H59" s="57"/>
      <c r="I59" s="59">
        <f t="shared" si="4"/>
        <v>686.6</v>
      </c>
      <c r="M59" s="85">
        <f t="shared" si="8"/>
        <v>100.93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686.6</v>
      </c>
      <c r="H60" s="57"/>
      <c r="I60" s="59">
        <f t="shared" si="4"/>
        <v>686.6</v>
      </c>
      <c r="M60" s="85">
        <f t="shared" si="8"/>
        <v>100.93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686.6</v>
      </c>
      <c r="H61" s="57"/>
      <c r="I61" s="59">
        <f t="shared" si="4"/>
        <v>686.6</v>
      </c>
      <c r="M61" s="85">
        <f t="shared" si="8"/>
        <v>100.93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686.6</v>
      </c>
      <c r="H62" s="57"/>
      <c r="I62" s="59">
        <f t="shared" si="4"/>
        <v>686.6</v>
      </c>
      <c r="M62" s="85">
        <f t="shared" si="8"/>
        <v>100.93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686.6</v>
      </c>
      <c r="H63" s="57"/>
      <c r="I63" s="59">
        <f t="shared" si="4"/>
        <v>686.6</v>
      </c>
      <c r="M63" s="85">
        <f t="shared" si="8"/>
        <v>100.93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686.6</v>
      </c>
      <c r="H64" s="57"/>
      <c r="I64" s="61">
        <f t="shared" si="4"/>
        <v>686.6</v>
      </c>
      <c r="M64" s="61">
        <f>+M63-0.01</f>
        <v>100.92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8239.2000000000025</v>
      </c>
      <c r="H65" s="64"/>
      <c r="I65" s="63">
        <f>SUM(I53:I64)</f>
        <v>8239.2000000000025</v>
      </c>
      <c r="M65" s="63">
        <f>SUM(M53:M64)</f>
        <v>1211.1500000000003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8239.2000000000025</v>
      </c>
      <c r="K67" s="66">
        <f>ROUND(G16*K73,2)</f>
        <v>14006.66</v>
      </c>
      <c r="M67" s="66">
        <f>ROUND(+(K67-I67)*M73,2)</f>
        <v>1211.17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273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'G9BAM Input'!J13</f>
        <v>2.2058823529411766E-2</v>
      </c>
      <c r="F73" s="76"/>
      <c r="G73" s="76">
        <f>E73/12</f>
        <v>1.8382352941176473E-3</v>
      </c>
      <c r="K73" s="86">
        <f>+'G9BAM Input'!L13</f>
        <v>3.7499999999999999E-2</v>
      </c>
      <c r="M73" s="87">
        <f>+'G9BAM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2.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Minnesota Ave 2nd-10th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686.6</v>
      </c>
      <c r="H93" s="57"/>
      <c r="I93" s="58">
        <f t="shared" si="9"/>
        <v>686.6</v>
      </c>
      <c r="M93" s="58">
        <f>+M53</f>
        <v>100.93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1373.2</v>
      </c>
      <c r="H94" s="57"/>
      <c r="I94" s="59">
        <f t="shared" si="9"/>
        <v>1373.2</v>
      </c>
      <c r="M94" s="59">
        <f>+M93+M54</f>
        <v>201.86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2059.8000000000002</v>
      </c>
      <c r="H95" s="57"/>
      <c r="I95" s="59">
        <f t="shared" si="9"/>
        <v>2059.8000000000002</v>
      </c>
      <c r="M95" s="59">
        <f t="shared" ref="M95:M104" si="14">+M94+M55</f>
        <v>302.79000000000002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2746.4</v>
      </c>
      <c r="H96" s="57"/>
      <c r="I96" s="59">
        <f t="shared" si="9"/>
        <v>2746.4</v>
      </c>
      <c r="M96" s="59">
        <f t="shared" si="14"/>
        <v>403.72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3433</v>
      </c>
      <c r="H97" s="57"/>
      <c r="I97" s="59">
        <f t="shared" si="9"/>
        <v>3433</v>
      </c>
      <c r="M97" s="59">
        <f t="shared" si="14"/>
        <v>504.65000000000003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4119.6000000000004</v>
      </c>
      <c r="H98" s="57"/>
      <c r="I98" s="59">
        <f t="shared" si="9"/>
        <v>4119.6000000000004</v>
      </c>
      <c r="M98" s="59">
        <f t="shared" si="14"/>
        <v>605.58000000000004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4806.2000000000007</v>
      </c>
      <c r="H99" s="57"/>
      <c r="I99" s="59">
        <f t="shared" si="9"/>
        <v>4806.2000000000007</v>
      </c>
      <c r="M99" s="59">
        <f t="shared" si="14"/>
        <v>706.51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5492.8000000000011</v>
      </c>
      <c r="H100" s="57"/>
      <c r="I100" s="59">
        <f t="shared" si="9"/>
        <v>5492.8000000000011</v>
      </c>
      <c r="M100" s="59">
        <f t="shared" si="14"/>
        <v>807.44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6179.4000000000015</v>
      </c>
      <c r="H101" s="57"/>
      <c r="I101" s="59">
        <f t="shared" si="9"/>
        <v>6179.4000000000015</v>
      </c>
      <c r="M101" s="59">
        <f t="shared" si="14"/>
        <v>908.37000000000012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6866.0000000000018</v>
      </c>
      <c r="H102" s="57"/>
      <c r="I102" s="59">
        <f t="shared" si="9"/>
        <v>6866.0000000000018</v>
      </c>
      <c r="M102" s="59">
        <f t="shared" si="14"/>
        <v>1009.3000000000002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7552.6000000000022</v>
      </c>
      <c r="H103" s="57"/>
      <c r="I103" s="59">
        <f t="shared" si="9"/>
        <v>7552.6000000000022</v>
      </c>
      <c r="M103" s="59">
        <f t="shared" si="14"/>
        <v>1110.2300000000002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8239.2000000000025</v>
      </c>
      <c r="H104" s="57"/>
      <c r="I104" s="61">
        <f t="shared" si="9"/>
        <v>8239.2000000000025</v>
      </c>
      <c r="M104" s="61">
        <f t="shared" si="14"/>
        <v>1211.1500000000003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53554.80000000001</v>
      </c>
      <c r="H105" s="64"/>
      <c r="I105" s="63">
        <f>SUM(I93:I104)</f>
        <v>53554.80000000001</v>
      </c>
      <c r="M105" s="63">
        <f>SUM(M93:M104)</f>
        <v>7872.5300000000016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4462.8999999999996</v>
      </c>
      <c r="H107" s="64"/>
      <c r="I107" s="66">
        <f>ROUND(+I105/12,2)</f>
        <v>4462.8999999999996</v>
      </c>
      <c r="M107" s="66">
        <f>ROUND(+M105/12,2)</f>
        <v>656.04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4462.8999999999996</v>
      </c>
      <c r="M110" s="78">
        <f>+M107</f>
        <v>656.04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274</v>
      </c>
      <c r="M112" s="62" t="s">
        <v>275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74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.75" customHeight="1">
      <c r="A3" s="121" t="str">
        <f>'G9BAM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'G9BAM Input'!F6</f>
        <v>SFS: Minnesota Ave 2nd-10th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100"/>
      <c r="C9" s="100"/>
      <c r="D9" s="100"/>
    </row>
    <row r="12" spans="1:12">
      <c r="B12" s="81"/>
      <c r="D12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SFS: Minnesota Ave 2nd-10th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1:L1"/>
    <mergeCell ref="A2:L2"/>
    <mergeCell ref="A3:L3"/>
    <mergeCell ref="A4:L4"/>
    <mergeCell ref="A5:L5"/>
    <mergeCell ref="A73:L73"/>
    <mergeCell ref="A74:L74"/>
    <mergeCell ref="A6:L6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.7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276</v>
      </c>
      <c r="E6" s="34"/>
      <c r="F6" s="127" t="s">
        <v>277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45153</v>
      </c>
    </row>
    <row r="28" spans="1:10">
      <c r="A28" s="36">
        <v>16</v>
      </c>
      <c r="B28" s="34" t="s">
        <v>97</v>
      </c>
      <c r="D28" s="108">
        <v>1348049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278</v>
      </c>
    </row>
    <row r="33" spans="2:2">
      <c r="B33" s="44" t="s">
        <v>279</v>
      </c>
    </row>
    <row r="34" spans="2:2">
      <c r="B34" s="44" t="s">
        <v>280</v>
      </c>
    </row>
    <row r="35" spans="2:2">
      <c r="B35" s="44" t="s">
        <v>281</v>
      </c>
    </row>
    <row r="36" spans="2:2">
      <c r="B36" s="44" t="s">
        <v>282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3.25" customHeight="1">
      <c r="A3" s="49" t="str">
        <f>'G99B4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'G99B4 Input'!F6</f>
        <v>SFS: Brandon Splitrock Blvd 6"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'G99B4 Input'!B13</f>
        <v>44180</v>
      </c>
      <c r="D15" s="55"/>
      <c r="E15" s="56">
        <f>'G99B4 Input'!D13*'G99B4 Input'!$D$7*'G99B4 Input'!$H$7</f>
        <v>0</v>
      </c>
      <c r="F15" s="57"/>
      <c r="G15" s="56">
        <f>'G99B4 Input'!D27*'G99B4 Input'!D6*'G99B4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'G99B4 Input'!B14</f>
        <v>44211</v>
      </c>
      <c r="D16" s="55"/>
      <c r="E16" s="58">
        <f>'G99B4 Input'!D14*'G99B4 Input'!$D$7*'G99B4 Input'!$H$7</f>
        <v>0</v>
      </c>
      <c r="F16" s="57"/>
      <c r="G16" s="58">
        <f>'G99B4 Input'!D28*'G99B4 Input'!D7*'G99B4 Input'!H7</f>
        <v>1348049</v>
      </c>
      <c r="H16" s="57"/>
      <c r="I16" s="58">
        <f t="shared" si="0"/>
        <v>1348049</v>
      </c>
    </row>
    <row r="17" spans="1:10">
      <c r="A17" s="48">
        <f t="shared" si="1"/>
        <v>3</v>
      </c>
      <c r="C17" s="55">
        <f>'G99B4 Input'!B15</f>
        <v>44241</v>
      </c>
      <c r="D17" s="55"/>
      <c r="E17" s="58">
        <f>'G99B4 Input'!D15*'G99B4 Input'!$D$7*'G99B4 Input'!$H$7</f>
        <v>0</v>
      </c>
      <c r="F17" s="57"/>
      <c r="G17" s="59">
        <f t="shared" ref="G17:G27" si="2">$G$16</f>
        <v>1348049</v>
      </c>
      <c r="H17" s="57"/>
      <c r="I17" s="59">
        <f t="shared" si="0"/>
        <v>1348049</v>
      </c>
      <c r="J17" s="57"/>
    </row>
    <row r="18" spans="1:10">
      <c r="A18" s="48">
        <f t="shared" si="1"/>
        <v>4</v>
      </c>
      <c r="C18" s="55">
        <f>'G99B4 Input'!B16</f>
        <v>44271</v>
      </c>
      <c r="D18" s="55"/>
      <c r="E18" s="58">
        <f>'G99B4 Input'!D16*'G99B4 Input'!$D$7*'G99B4 Input'!$H$7</f>
        <v>0</v>
      </c>
      <c r="F18" s="57"/>
      <c r="G18" s="59">
        <f t="shared" si="2"/>
        <v>1348049</v>
      </c>
      <c r="H18" s="57"/>
      <c r="I18" s="59">
        <f t="shared" si="0"/>
        <v>1348049</v>
      </c>
      <c r="J18" s="57"/>
    </row>
    <row r="19" spans="1:10">
      <c r="A19" s="48">
        <f t="shared" si="1"/>
        <v>5</v>
      </c>
      <c r="C19" s="55">
        <f>'G99B4 Input'!B17</f>
        <v>44301</v>
      </c>
      <c r="D19" s="55"/>
      <c r="E19" s="58">
        <f>'G99B4 Input'!D17*'G99B4 Input'!$D$7*'G99B4 Input'!$H$7</f>
        <v>0</v>
      </c>
      <c r="F19" s="57"/>
      <c r="G19" s="59">
        <f t="shared" si="2"/>
        <v>1348049</v>
      </c>
      <c r="H19" s="57"/>
      <c r="I19" s="59">
        <f t="shared" si="0"/>
        <v>1348049</v>
      </c>
      <c r="J19" s="57"/>
    </row>
    <row r="20" spans="1:10">
      <c r="A20" s="48">
        <f t="shared" si="1"/>
        <v>6</v>
      </c>
      <c r="C20" s="55">
        <f>'G99B4 Input'!B18</f>
        <v>44331</v>
      </c>
      <c r="D20" s="55"/>
      <c r="E20" s="58">
        <f>'G99B4 Input'!D18*'G99B4 Input'!$D$7*'G99B4 Input'!$H$7</f>
        <v>0</v>
      </c>
      <c r="F20" s="57"/>
      <c r="G20" s="59">
        <f t="shared" si="2"/>
        <v>1348049</v>
      </c>
      <c r="H20" s="57"/>
      <c r="I20" s="59">
        <f t="shared" si="0"/>
        <v>1348049</v>
      </c>
      <c r="J20" s="57"/>
    </row>
    <row r="21" spans="1:10">
      <c r="A21" s="48">
        <f t="shared" si="1"/>
        <v>7</v>
      </c>
      <c r="C21" s="55">
        <f>'G99B4 Input'!B19</f>
        <v>44361</v>
      </c>
      <c r="D21" s="55"/>
      <c r="E21" s="58">
        <f>'G99B4 Input'!D19*'G99B4 Input'!$D$7*'G99B4 Input'!$H$7</f>
        <v>0</v>
      </c>
      <c r="F21" s="57"/>
      <c r="G21" s="59">
        <f t="shared" si="2"/>
        <v>1348049</v>
      </c>
      <c r="H21" s="57"/>
      <c r="I21" s="59">
        <f t="shared" si="0"/>
        <v>1348049</v>
      </c>
      <c r="J21" s="57"/>
    </row>
    <row r="22" spans="1:10">
      <c r="A22" s="48">
        <f t="shared" si="1"/>
        <v>8</v>
      </c>
      <c r="C22" s="55">
        <f>'G99B4 Input'!B20</f>
        <v>44391</v>
      </c>
      <c r="D22" s="55"/>
      <c r="E22" s="58">
        <f>'G99B4 Input'!D20*'G99B4 Input'!$D$7*'G99B4 Input'!$H$7</f>
        <v>0</v>
      </c>
      <c r="F22" s="57"/>
      <c r="G22" s="59">
        <f t="shared" si="2"/>
        <v>1348049</v>
      </c>
      <c r="H22" s="57"/>
      <c r="I22" s="59">
        <f t="shared" si="0"/>
        <v>1348049</v>
      </c>
      <c r="J22" s="57"/>
    </row>
    <row r="23" spans="1:10">
      <c r="A23" s="48">
        <f t="shared" si="1"/>
        <v>9</v>
      </c>
      <c r="C23" s="55">
        <f>'G99B4 Input'!B21</f>
        <v>44421</v>
      </c>
      <c r="D23" s="55"/>
      <c r="E23" s="58">
        <f>'G99B4 Input'!D21*'G99B4 Input'!$D$7*'G99B4 Input'!$H$7</f>
        <v>0</v>
      </c>
      <c r="F23" s="57"/>
      <c r="G23" s="59">
        <f t="shared" si="2"/>
        <v>1348049</v>
      </c>
      <c r="H23" s="57"/>
      <c r="I23" s="59">
        <f t="shared" si="0"/>
        <v>1348049</v>
      </c>
      <c r="J23" s="57"/>
    </row>
    <row r="24" spans="1:10">
      <c r="A24" s="48">
        <f t="shared" si="1"/>
        <v>10</v>
      </c>
      <c r="C24" s="55">
        <f>'G99B4 Input'!B22</f>
        <v>44451</v>
      </c>
      <c r="D24" s="55"/>
      <c r="E24" s="58">
        <f>'G99B4 Input'!D22*'G99B4 Input'!$D$7*'G99B4 Input'!$H$7</f>
        <v>0</v>
      </c>
      <c r="F24" s="57"/>
      <c r="G24" s="59">
        <f t="shared" si="2"/>
        <v>1348049</v>
      </c>
      <c r="H24" s="57"/>
      <c r="I24" s="59">
        <f t="shared" si="0"/>
        <v>1348049</v>
      </c>
      <c r="J24" s="57"/>
    </row>
    <row r="25" spans="1:10">
      <c r="A25" s="48">
        <f t="shared" si="1"/>
        <v>11</v>
      </c>
      <c r="C25" s="55">
        <f>'G99B4 Input'!B23</f>
        <v>44481</v>
      </c>
      <c r="D25" s="55"/>
      <c r="E25" s="58">
        <f>'G99B4 Input'!D23*'G99B4 Input'!$D$7*'G99B4 Input'!$H$7</f>
        <v>0</v>
      </c>
      <c r="F25" s="57"/>
      <c r="G25" s="59">
        <f t="shared" si="2"/>
        <v>1348049</v>
      </c>
      <c r="H25" s="57"/>
      <c r="I25" s="59">
        <f t="shared" si="0"/>
        <v>1348049</v>
      </c>
      <c r="J25" s="57"/>
    </row>
    <row r="26" spans="1:10">
      <c r="A26" s="48">
        <f t="shared" si="1"/>
        <v>12</v>
      </c>
      <c r="C26" s="55">
        <f>'G99B4 Input'!B24</f>
        <v>44511</v>
      </c>
      <c r="D26" s="55"/>
      <c r="E26" s="58">
        <f>'G99B4 Input'!D24*'G99B4 Input'!$D$7*'G99B4 Input'!$H$7</f>
        <v>0</v>
      </c>
      <c r="F26" s="57"/>
      <c r="G26" s="59">
        <f t="shared" si="2"/>
        <v>1348049</v>
      </c>
      <c r="H26" s="57"/>
      <c r="I26" s="59">
        <f t="shared" si="0"/>
        <v>1348049</v>
      </c>
      <c r="J26" s="57"/>
    </row>
    <row r="27" spans="1:10">
      <c r="A27" s="48">
        <f t="shared" si="1"/>
        <v>13</v>
      </c>
      <c r="C27" s="55">
        <f>'G99B4 Input'!B25</f>
        <v>44541</v>
      </c>
      <c r="D27" s="55"/>
      <c r="E27" s="60">
        <f>'G99B4 Input'!D25*'G99B4 Input'!$D$7*'G99B4 Input'!$H$7</f>
        <v>0</v>
      </c>
      <c r="F27" s="57"/>
      <c r="G27" s="61">
        <f t="shared" si="2"/>
        <v>1348049</v>
      </c>
      <c r="H27" s="57"/>
      <c r="I27" s="61">
        <f t="shared" si="0"/>
        <v>1348049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16176588</v>
      </c>
      <c r="H28" s="64"/>
      <c r="I28" s="63">
        <f>SUM(I16:I27)</f>
        <v>16176588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1348049</v>
      </c>
      <c r="H30" s="64"/>
      <c r="I30" s="66">
        <f>ROUND(+I28/12,2)</f>
        <v>1348049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1348049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" customHeight="1">
      <c r="A3" s="119" t="str">
        <f>'G99B4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'G99B4 Input'!F6</f>
        <v>SFS: Brandon Splitrock Blvd 6"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'G99B4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"&amp;'G99B4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'G99B4 TotalWO'!C15</f>
        <v>44180</v>
      </c>
      <c r="D15" s="55"/>
      <c r="E15" s="56">
        <f>'G99B4 TotalWO'!E15*'G99B4 Input'!$H$13</f>
        <v>0</v>
      </c>
      <c r="F15" s="68"/>
      <c r="G15" s="56">
        <f>'G99B4 TotalWO'!G15*'G99B4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'G99B4 TotalWO'!C16</f>
        <v>44211</v>
      </c>
      <c r="D16" s="55"/>
      <c r="E16" s="58">
        <f>'G99B4 TotalWO'!E16*'G99B4 Input'!$H$13</f>
        <v>0</v>
      </c>
      <c r="F16" s="68"/>
      <c r="G16" s="58">
        <f>'G99B4 TotalWO'!G16*'G99B4 Input'!$H$13</f>
        <v>1348049</v>
      </c>
      <c r="H16" s="59"/>
      <c r="I16" s="58">
        <f t="shared" si="0"/>
        <v>1348049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'G99B4 TotalWO'!E17*'G99B4 Input'!$H$13</f>
        <v>0</v>
      </c>
      <c r="F17" s="68"/>
      <c r="G17" s="68">
        <f>'G99B4 TotalWO'!G17*'G99B4 Input'!$H$13</f>
        <v>1348049</v>
      </c>
      <c r="H17" s="59"/>
      <c r="I17" s="59">
        <f t="shared" si="0"/>
        <v>1348049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'G99B4 TotalWO'!E18*'G99B4 Input'!$H$13</f>
        <v>0</v>
      </c>
      <c r="F18" s="68"/>
      <c r="G18" s="68">
        <f>'G99B4 TotalWO'!G18*'G99B4 Input'!$H$13</f>
        <v>1348049</v>
      </c>
      <c r="H18" s="59"/>
      <c r="I18" s="59">
        <f t="shared" si="0"/>
        <v>1348049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'G99B4 TotalWO'!E19*'G99B4 Input'!$H$13</f>
        <v>0</v>
      </c>
      <c r="F19" s="68"/>
      <c r="G19" s="68">
        <f>'G99B4 TotalWO'!G19*'G99B4 Input'!$H$13</f>
        <v>1348049</v>
      </c>
      <c r="H19" s="59"/>
      <c r="I19" s="59">
        <f t="shared" si="0"/>
        <v>1348049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'G99B4 TotalWO'!E20*'G99B4 Input'!$H$13</f>
        <v>0</v>
      </c>
      <c r="F20" s="68"/>
      <c r="G20" s="68">
        <f>'G99B4 TotalWO'!G20*'G99B4 Input'!$H$13</f>
        <v>1348049</v>
      </c>
      <c r="H20" s="59"/>
      <c r="I20" s="59">
        <f t="shared" si="0"/>
        <v>1348049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'G99B4 TotalWO'!E21*'G99B4 Input'!$H$13</f>
        <v>0</v>
      </c>
      <c r="F21" s="68"/>
      <c r="G21" s="68">
        <f>'G99B4 TotalWO'!G21*'G99B4 Input'!$H$13</f>
        <v>1348049</v>
      </c>
      <c r="H21" s="59"/>
      <c r="I21" s="59">
        <f t="shared" si="0"/>
        <v>1348049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'G99B4 TotalWO'!E22*'G99B4 Input'!$H$13</f>
        <v>0</v>
      </c>
      <c r="F22" s="68"/>
      <c r="G22" s="68">
        <f>'G99B4 TotalWO'!G22*'G99B4 Input'!$H$13</f>
        <v>1348049</v>
      </c>
      <c r="H22" s="59"/>
      <c r="I22" s="59">
        <f t="shared" si="0"/>
        <v>1348049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'G99B4 TotalWO'!E23*'G99B4 Input'!$H$13</f>
        <v>0</v>
      </c>
      <c r="F23" s="68"/>
      <c r="G23" s="68">
        <f>'G99B4 TotalWO'!G23*'G99B4 Input'!$H$13</f>
        <v>1348049</v>
      </c>
      <c r="H23" s="59"/>
      <c r="I23" s="59">
        <f t="shared" si="0"/>
        <v>1348049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'G99B4 TotalWO'!E24*'G99B4 Input'!$H$13</f>
        <v>0</v>
      </c>
      <c r="F24" s="68"/>
      <c r="G24" s="68">
        <f>'G99B4 TotalWO'!G24*'G99B4 Input'!$H$13</f>
        <v>1348049</v>
      </c>
      <c r="H24" s="59"/>
      <c r="I24" s="59">
        <f t="shared" si="0"/>
        <v>1348049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'G99B4 TotalWO'!E25*'G99B4 Input'!$H$13</f>
        <v>0</v>
      </c>
      <c r="F25" s="68"/>
      <c r="G25" s="68">
        <f>'G99B4 TotalWO'!G25*'G99B4 Input'!$H$13</f>
        <v>1348049</v>
      </c>
      <c r="H25" s="59"/>
      <c r="I25" s="59">
        <f t="shared" si="0"/>
        <v>1348049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'G99B4 TotalWO'!E26*'G99B4 Input'!$H$13</f>
        <v>0</v>
      </c>
      <c r="F26" s="68"/>
      <c r="G26" s="68">
        <f>'G99B4 TotalWO'!G26*'G99B4 Input'!$H$13</f>
        <v>1348049</v>
      </c>
      <c r="H26" s="59"/>
      <c r="I26" s="59">
        <f t="shared" si="0"/>
        <v>1348049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'G99B4 TotalWO'!E27*'G99B4 Input'!$H$13</f>
        <v>0</v>
      </c>
      <c r="F27" s="68"/>
      <c r="G27" s="71">
        <f>'G99B4 TotalWO'!G27*'G99B4 Input'!$H$13</f>
        <v>1348049</v>
      </c>
      <c r="H27" s="59"/>
      <c r="I27" s="61">
        <f t="shared" si="0"/>
        <v>1348049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16176588</v>
      </c>
      <c r="H28" s="64"/>
      <c r="I28" s="63">
        <f>SUM(I16:I27)</f>
        <v>16176588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1348049</v>
      </c>
      <c r="H30" s="64"/>
      <c r="I30" s="66">
        <f>ROUND(+I28/12,2)</f>
        <v>1348049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1348049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283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Brandon Splitrock Blvd 6"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2478.0300000000002</v>
      </c>
      <c r="H53" s="64"/>
      <c r="I53" s="63">
        <f t="shared" ref="I53:I64" si="4">G53-E53</f>
        <v>2478.0300000000002</v>
      </c>
      <c r="K53" s="58"/>
      <c r="M53" s="17">
        <f>+ROUND(M67/12,2)</f>
        <v>364.27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2478.0300000000002</v>
      </c>
      <c r="H54" s="57"/>
      <c r="I54" s="59">
        <f t="shared" si="4"/>
        <v>2478.0300000000002</v>
      </c>
      <c r="M54" s="85">
        <f>+M53</f>
        <v>364.27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2478.0300000000002</v>
      </c>
      <c r="H55" s="57"/>
      <c r="I55" s="59">
        <f t="shared" si="4"/>
        <v>2478.0300000000002</v>
      </c>
      <c r="M55" s="85">
        <f t="shared" ref="M55:M61" si="8">+M54</f>
        <v>364.27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2478.0300000000002</v>
      </c>
      <c r="H56" s="57"/>
      <c r="I56" s="59">
        <f t="shared" si="4"/>
        <v>2478.0300000000002</v>
      </c>
      <c r="M56" s="85">
        <f t="shared" si="8"/>
        <v>364.27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2478.0300000000002</v>
      </c>
      <c r="H57" s="57"/>
      <c r="I57" s="59">
        <f t="shared" si="4"/>
        <v>2478.0300000000002</v>
      </c>
      <c r="M57" s="85">
        <f t="shared" si="8"/>
        <v>364.27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2478.0300000000002</v>
      </c>
      <c r="H58" s="57"/>
      <c r="I58" s="59">
        <f t="shared" si="4"/>
        <v>2478.0300000000002</v>
      </c>
      <c r="M58" s="85">
        <f t="shared" si="8"/>
        <v>364.27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2478.0300000000002</v>
      </c>
      <c r="H59" s="57"/>
      <c r="I59" s="59">
        <f t="shared" si="4"/>
        <v>2478.0300000000002</v>
      </c>
      <c r="M59" s="85">
        <f t="shared" si="8"/>
        <v>364.27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2478.0300000000002</v>
      </c>
      <c r="H60" s="57"/>
      <c r="I60" s="59">
        <f t="shared" si="4"/>
        <v>2478.0300000000002</v>
      </c>
      <c r="M60" s="85">
        <f t="shared" si="8"/>
        <v>364.27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2478.0300000000002</v>
      </c>
      <c r="H61" s="57"/>
      <c r="I61" s="59">
        <f t="shared" si="4"/>
        <v>2478.0300000000002</v>
      </c>
      <c r="M61" s="85">
        <f t="shared" si="8"/>
        <v>364.27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2478.0300000000002</v>
      </c>
      <c r="H62" s="57"/>
      <c r="I62" s="59">
        <f t="shared" si="4"/>
        <v>2478.0300000000002</v>
      </c>
      <c r="M62" s="85">
        <f>+M61+0.01</f>
        <v>364.28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2478.0300000000002</v>
      </c>
      <c r="H63" s="57"/>
      <c r="I63" s="59">
        <f t="shared" si="4"/>
        <v>2478.0300000000002</v>
      </c>
      <c r="M63" s="85">
        <f>+M62</f>
        <v>364.28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2478.0300000000002</v>
      </c>
      <c r="H64" s="57"/>
      <c r="I64" s="61">
        <f t="shared" si="4"/>
        <v>2478.0300000000002</v>
      </c>
      <c r="M64" s="85">
        <f>+M63</f>
        <v>364.28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29736.359999999997</v>
      </c>
      <c r="H65" s="64"/>
      <c r="I65" s="63">
        <f>SUM(I53:I64)</f>
        <v>29736.359999999997</v>
      </c>
      <c r="M65" s="89">
        <f>SUM(M53:M64)</f>
        <v>4371.2699999999995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29736.359999999997</v>
      </c>
      <c r="K67" s="66">
        <f>ROUND(G16*K73,2)</f>
        <v>50551.839999999997</v>
      </c>
      <c r="M67" s="66">
        <f>ROUND(+(K67-I67)*M73,2)</f>
        <v>4371.25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284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'G99B4 Input'!J13</f>
        <v>2.2058823529411766E-2</v>
      </c>
      <c r="F73" s="76"/>
      <c r="G73" s="76">
        <f>E73/12</f>
        <v>1.8382352941176473E-3</v>
      </c>
      <c r="K73" s="86">
        <f>+'G99B4 Input'!L13</f>
        <v>3.7499999999999999E-2</v>
      </c>
      <c r="M73" s="87">
        <f>+'G99B4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Brandon Splitrock Blvd 6"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2478.0300000000002</v>
      </c>
      <c r="H93" s="57"/>
      <c r="I93" s="58">
        <f t="shared" si="9"/>
        <v>2478.0300000000002</v>
      </c>
      <c r="M93" s="58">
        <f>+M53</f>
        <v>364.27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4956.0600000000004</v>
      </c>
      <c r="H94" s="57"/>
      <c r="I94" s="59">
        <f t="shared" si="9"/>
        <v>4956.0600000000004</v>
      </c>
      <c r="M94" s="59">
        <f>+M93+M54</f>
        <v>728.54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7434.09</v>
      </c>
      <c r="H95" s="57"/>
      <c r="I95" s="59">
        <f t="shared" si="9"/>
        <v>7434.09</v>
      </c>
      <c r="M95" s="59">
        <f t="shared" ref="M95:M104" si="14">+M94+M55</f>
        <v>1092.81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9912.1200000000008</v>
      </c>
      <c r="H96" s="57"/>
      <c r="I96" s="59">
        <f t="shared" si="9"/>
        <v>9912.1200000000008</v>
      </c>
      <c r="M96" s="59">
        <f t="shared" si="14"/>
        <v>1457.08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12390.150000000001</v>
      </c>
      <c r="H97" s="57"/>
      <c r="I97" s="59">
        <f t="shared" si="9"/>
        <v>12390.150000000001</v>
      </c>
      <c r="M97" s="59">
        <f t="shared" si="14"/>
        <v>1821.35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14868.180000000002</v>
      </c>
      <c r="H98" s="57"/>
      <c r="I98" s="59">
        <f t="shared" si="9"/>
        <v>14868.180000000002</v>
      </c>
      <c r="M98" s="59">
        <f t="shared" si="14"/>
        <v>2185.62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17346.210000000003</v>
      </c>
      <c r="H99" s="57"/>
      <c r="I99" s="59">
        <f t="shared" si="9"/>
        <v>17346.210000000003</v>
      </c>
      <c r="M99" s="59">
        <f t="shared" si="14"/>
        <v>2549.89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19824.240000000002</v>
      </c>
      <c r="H100" s="57"/>
      <c r="I100" s="59">
        <f t="shared" si="9"/>
        <v>19824.240000000002</v>
      </c>
      <c r="M100" s="59">
        <f t="shared" si="14"/>
        <v>2914.16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22302.27</v>
      </c>
      <c r="H101" s="57"/>
      <c r="I101" s="59">
        <f t="shared" si="9"/>
        <v>22302.27</v>
      </c>
      <c r="M101" s="59">
        <f t="shared" si="14"/>
        <v>3278.43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24780.3</v>
      </c>
      <c r="H102" s="57"/>
      <c r="I102" s="59">
        <f t="shared" si="9"/>
        <v>24780.3</v>
      </c>
      <c r="M102" s="59">
        <f t="shared" si="14"/>
        <v>3642.71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27258.329999999998</v>
      </c>
      <c r="H103" s="57"/>
      <c r="I103" s="59">
        <f t="shared" si="9"/>
        <v>27258.329999999998</v>
      </c>
      <c r="M103" s="59">
        <f t="shared" si="14"/>
        <v>4006.99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29736.359999999997</v>
      </c>
      <c r="H104" s="57"/>
      <c r="I104" s="61">
        <f t="shared" si="9"/>
        <v>29736.359999999997</v>
      </c>
      <c r="M104" s="61">
        <f t="shared" si="14"/>
        <v>4371.2699999999995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193286.34</v>
      </c>
      <c r="H105" s="64"/>
      <c r="I105" s="63">
        <f>SUM(I93:I104)</f>
        <v>193286.34</v>
      </c>
      <c r="M105" s="63">
        <f>SUM(M93:M104)</f>
        <v>28413.119999999999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16107.2</v>
      </c>
      <c r="H107" s="64"/>
      <c r="I107" s="66">
        <f>ROUND(+I105/12,2)</f>
        <v>16107.2</v>
      </c>
      <c r="M107" s="66">
        <f>ROUND(+M105/12,2)</f>
        <v>2367.7600000000002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16107.2</v>
      </c>
      <c r="M110" s="78">
        <f>+M107</f>
        <v>2367.7600000000002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285</v>
      </c>
      <c r="M112" s="62" t="s">
        <v>286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74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'G99B4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'G99B4 Input'!F6</f>
        <v>SFS: Brandon Splitrock Blvd 6"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SFS: Brandon Splitrock Blvd 6"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1:L1"/>
    <mergeCell ref="A2:L2"/>
    <mergeCell ref="A3:L3"/>
    <mergeCell ref="A4:L4"/>
    <mergeCell ref="A5:L5"/>
    <mergeCell ref="A73:L73"/>
    <mergeCell ref="A74:L74"/>
    <mergeCell ref="A6:L6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5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287</v>
      </c>
      <c r="E6" s="34"/>
      <c r="F6" s="127" t="s">
        <v>288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45260</v>
      </c>
    </row>
    <row r="28" spans="1:10">
      <c r="A28" s="36">
        <v>16</v>
      </c>
      <c r="B28" s="34" t="s">
        <v>97</v>
      </c>
      <c r="D28" s="108">
        <v>1622640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289</v>
      </c>
    </row>
    <row r="33" spans="2:2">
      <c r="B33" s="44" t="s">
        <v>290</v>
      </c>
    </row>
    <row r="34" spans="2:2">
      <c r="B34" s="44" t="s">
        <v>291</v>
      </c>
    </row>
    <row r="35" spans="2:2">
      <c r="B35" s="44" t="s">
        <v>292</v>
      </c>
    </row>
    <row r="36" spans="2:2">
      <c r="B36" s="44" t="s">
        <v>293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6.25" customHeight="1">
      <c r="A3" s="121" t="str">
        <f>'G9B6U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'G9B6U Input'!F6</f>
        <v>Tea-Sioux Falls Hwy 106 Tie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60" spans="1:12" ht="12.75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2"/>
      <c r="L60" s="122"/>
    </row>
    <row r="61" spans="1:12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2"/>
      <c r="L61" s="122"/>
    </row>
    <row r="62" spans="1:12" ht="25.5" customHeight="1">
      <c r="A62" s="123" t="str">
        <f t="shared" ref="A62:A65" si="0">A3</f>
        <v>Pro-Forma Adjustment - System Reliability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2"/>
      <c r="L62" s="122"/>
    </row>
    <row r="63" spans="1:12" ht="12.7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2"/>
      <c r="L63" s="122"/>
    </row>
    <row r="64" spans="1:12" ht="12.7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2"/>
      <c r="L64" s="122"/>
    </row>
    <row r="65" spans="1:12" ht="12.75">
      <c r="A65" s="121" t="str">
        <f t="shared" si="0"/>
        <v>Tea-Sioux Falls Hwy 106 Tie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2"/>
      <c r="L65" s="122"/>
    </row>
  </sheetData>
  <mergeCells count="12">
    <mergeCell ref="A61:L61"/>
    <mergeCell ref="A62:L62"/>
    <mergeCell ref="A63:L63"/>
    <mergeCell ref="A64:L64"/>
    <mergeCell ref="A65:L65"/>
    <mergeCell ref="A6:L6"/>
    <mergeCell ref="A60:L60"/>
    <mergeCell ref="A1:L1"/>
    <mergeCell ref="A2:L2"/>
    <mergeCell ref="A3:L3"/>
    <mergeCell ref="A4:L4"/>
    <mergeCell ref="A5:L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59" max="11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4" customHeight="1">
      <c r="A3" s="49" t="str">
        <f>'G99I0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'G99I0 Input'!F6</f>
        <v>SFS: Tea Serve Load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'G99I0 Input'!B13</f>
        <v>44180</v>
      </c>
      <c r="D15" s="55"/>
      <c r="E15" s="56">
        <f>'G99I0 Input'!D13*'G99I0 Input'!$D$7*'G99I0 Input'!$H$7</f>
        <v>0</v>
      </c>
      <c r="F15" s="57"/>
      <c r="G15" s="56">
        <f>'G99I0 Input'!D27*'G99I0 Input'!D6*'G99I0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'G99I0 Input'!B14</f>
        <v>44211</v>
      </c>
      <c r="D16" s="55"/>
      <c r="E16" s="58">
        <f>'G99I0 Input'!D14*'G99I0 Input'!$D$7*'G99I0 Input'!$H$7</f>
        <v>0</v>
      </c>
      <c r="F16" s="57"/>
      <c r="G16" s="58">
        <f>'G99I0 Input'!D28*'G99I0 Input'!D7*'G99I0 Input'!H7</f>
        <v>1622640</v>
      </c>
      <c r="H16" s="57"/>
      <c r="I16" s="58">
        <f t="shared" si="0"/>
        <v>1622640</v>
      </c>
    </row>
    <row r="17" spans="1:10">
      <c r="A17" s="48">
        <f t="shared" si="1"/>
        <v>3</v>
      </c>
      <c r="C17" s="55">
        <f>'G99I0 Input'!B15</f>
        <v>44241</v>
      </c>
      <c r="D17" s="55"/>
      <c r="E17" s="58">
        <f>'G99I0 Input'!D15*'G99I0 Input'!$D$7*'G99I0 Input'!$H$7</f>
        <v>0</v>
      </c>
      <c r="F17" s="57"/>
      <c r="G17" s="59">
        <f t="shared" ref="G17:G27" si="2">$G$16</f>
        <v>1622640</v>
      </c>
      <c r="H17" s="57"/>
      <c r="I17" s="59">
        <f t="shared" si="0"/>
        <v>1622640</v>
      </c>
      <c r="J17" s="57"/>
    </row>
    <row r="18" spans="1:10">
      <c r="A18" s="48">
        <f t="shared" si="1"/>
        <v>4</v>
      </c>
      <c r="C18" s="55">
        <f>'G99I0 Input'!B16</f>
        <v>44271</v>
      </c>
      <c r="D18" s="55"/>
      <c r="E18" s="58">
        <f>'G99I0 Input'!D16*'G99I0 Input'!$D$7*'G99I0 Input'!$H$7</f>
        <v>0</v>
      </c>
      <c r="F18" s="57"/>
      <c r="G18" s="59">
        <f t="shared" si="2"/>
        <v>1622640</v>
      </c>
      <c r="H18" s="57"/>
      <c r="I18" s="59">
        <f t="shared" si="0"/>
        <v>1622640</v>
      </c>
      <c r="J18" s="57"/>
    </row>
    <row r="19" spans="1:10">
      <c r="A19" s="48">
        <f t="shared" si="1"/>
        <v>5</v>
      </c>
      <c r="C19" s="55">
        <f>'G99I0 Input'!B17</f>
        <v>44301</v>
      </c>
      <c r="D19" s="55"/>
      <c r="E19" s="58">
        <f>'G99I0 Input'!D17*'G99I0 Input'!$D$7*'G99I0 Input'!$H$7</f>
        <v>0</v>
      </c>
      <c r="F19" s="57"/>
      <c r="G19" s="59">
        <f t="shared" si="2"/>
        <v>1622640</v>
      </c>
      <c r="H19" s="57"/>
      <c r="I19" s="59">
        <f t="shared" si="0"/>
        <v>1622640</v>
      </c>
      <c r="J19" s="57"/>
    </row>
    <row r="20" spans="1:10">
      <c r="A20" s="48">
        <f t="shared" si="1"/>
        <v>6</v>
      </c>
      <c r="C20" s="55">
        <f>'G99I0 Input'!B18</f>
        <v>44331</v>
      </c>
      <c r="D20" s="55"/>
      <c r="E20" s="58">
        <f>'G99I0 Input'!D18*'G99I0 Input'!$D$7*'G99I0 Input'!$H$7</f>
        <v>0</v>
      </c>
      <c r="F20" s="57"/>
      <c r="G20" s="59">
        <f t="shared" si="2"/>
        <v>1622640</v>
      </c>
      <c r="H20" s="57"/>
      <c r="I20" s="59">
        <f t="shared" si="0"/>
        <v>1622640</v>
      </c>
      <c r="J20" s="57"/>
    </row>
    <row r="21" spans="1:10">
      <c r="A21" s="48">
        <f t="shared" si="1"/>
        <v>7</v>
      </c>
      <c r="C21" s="55">
        <f>'G99I0 Input'!B19</f>
        <v>44361</v>
      </c>
      <c r="D21" s="55"/>
      <c r="E21" s="58">
        <f>'G99I0 Input'!D19*'G99I0 Input'!$D$7*'G99I0 Input'!$H$7</f>
        <v>0</v>
      </c>
      <c r="F21" s="57"/>
      <c r="G21" s="59">
        <f t="shared" si="2"/>
        <v>1622640</v>
      </c>
      <c r="H21" s="57"/>
      <c r="I21" s="59">
        <f t="shared" si="0"/>
        <v>1622640</v>
      </c>
      <c r="J21" s="57"/>
    </row>
    <row r="22" spans="1:10">
      <c r="A22" s="48">
        <f t="shared" si="1"/>
        <v>8</v>
      </c>
      <c r="C22" s="55">
        <f>'G99I0 Input'!B20</f>
        <v>44391</v>
      </c>
      <c r="D22" s="55"/>
      <c r="E22" s="58">
        <f>'G99I0 Input'!D20*'G99I0 Input'!$D$7*'G99I0 Input'!$H$7</f>
        <v>0</v>
      </c>
      <c r="F22" s="57"/>
      <c r="G22" s="59">
        <f t="shared" si="2"/>
        <v>1622640</v>
      </c>
      <c r="H22" s="57"/>
      <c r="I22" s="59">
        <f t="shared" si="0"/>
        <v>1622640</v>
      </c>
      <c r="J22" s="57"/>
    </row>
    <row r="23" spans="1:10">
      <c r="A23" s="48">
        <f t="shared" si="1"/>
        <v>9</v>
      </c>
      <c r="C23" s="55">
        <f>'G99I0 Input'!B21</f>
        <v>44421</v>
      </c>
      <c r="D23" s="55"/>
      <c r="E23" s="58">
        <f>'G99I0 Input'!D21*'G99I0 Input'!$D$7*'G99I0 Input'!$H$7</f>
        <v>0</v>
      </c>
      <c r="F23" s="57"/>
      <c r="G23" s="59">
        <f t="shared" si="2"/>
        <v>1622640</v>
      </c>
      <c r="H23" s="57"/>
      <c r="I23" s="59">
        <f t="shared" si="0"/>
        <v>1622640</v>
      </c>
      <c r="J23" s="57"/>
    </row>
    <row r="24" spans="1:10">
      <c r="A24" s="48">
        <f t="shared" si="1"/>
        <v>10</v>
      </c>
      <c r="C24" s="55">
        <f>'G99I0 Input'!B22</f>
        <v>44451</v>
      </c>
      <c r="D24" s="55"/>
      <c r="E24" s="58">
        <f>'G99I0 Input'!D22*'G99I0 Input'!$D$7*'G99I0 Input'!$H$7</f>
        <v>0</v>
      </c>
      <c r="F24" s="57"/>
      <c r="G24" s="59">
        <f t="shared" si="2"/>
        <v>1622640</v>
      </c>
      <c r="H24" s="57"/>
      <c r="I24" s="59">
        <f t="shared" si="0"/>
        <v>1622640</v>
      </c>
      <c r="J24" s="57"/>
    </row>
    <row r="25" spans="1:10">
      <c r="A25" s="48">
        <f t="shared" si="1"/>
        <v>11</v>
      </c>
      <c r="C25" s="55">
        <f>'G99I0 Input'!B23</f>
        <v>44481</v>
      </c>
      <c r="D25" s="55"/>
      <c r="E25" s="58">
        <f>'G99I0 Input'!D23*'G99I0 Input'!$D$7*'G99I0 Input'!$H$7</f>
        <v>0</v>
      </c>
      <c r="F25" s="57"/>
      <c r="G25" s="59">
        <f t="shared" si="2"/>
        <v>1622640</v>
      </c>
      <c r="H25" s="57"/>
      <c r="I25" s="59">
        <f t="shared" si="0"/>
        <v>1622640</v>
      </c>
      <c r="J25" s="57"/>
    </row>
    <row r="26" spans="1:10">
      <c r="A26" s="48">
        <f t="shared" si="1"/>
        <v>12</v>
      </c>
      <c r="C26" s="55">
        <f>'G99I0 Input'!B24</f>
        <v>44511</v>
      </c>
      <c r="D26" s="55"/>
      <c r="E26" s="58">
        <f>'G99I0 Input'!D24*'G99I0 Input'!$D$7*'G99I0 Input'!$H$7</f>
        <v>0</v>
      </c>
      <c r="F26" s="57"/>
      <c r="G26" s="59">
        <f t="shared" si="2"/>
        <v>1622640</v>
      </c>
      <c r="H26" s="57"/>
      <c r="I26" s="59">
        <f t="shared" si="0"/>
        <v>1622640</v>
      </c>
      <c r="J26" s="57"/>
    </row>
    <row r="27" spans="1:10">
      <c r="A27" s="48">
        <f t="shared" si="1"/>
        <v>13</v>
      </c>
      <c r="C27" s="55">
        <f>'G99I0 Input'!B25</f>
        <v>44541</v>
      </c>
      <c r="D27" s="55"/>
      <c r="E27" s="60">
        <f>'G99I0 Input'!D25*'G99I0 Input'!$D$7*'G99I0 Input'!$H$7</f>
        <v>0</v>
      </c>
      <c r="F27" s="57"/>
      <c r="G27" s="61">
        <f t="shared" si="2"/>
        <v>1622640</v>
      </c>
      <c r="H27" s="57"/>
      <c r="I27" s="61">
        <f t="shared" si="0"/>
        <v>1622640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19471680</v>
      </c>
      <c r="H28" s="64"/>
      <c r="I28" s="63">
        <f>SUM(I16:I27)</f>
        <v>19471680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1622640</v>
      </c>
      <c r="H30" s="64"/>
      <c r="I30" s="66">
        <f>ROUND(+I28/12,2)</f>
        <v>1622640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1622640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" customHeight="1">
      <c r="A3" s="119" t="str">
        <f>'G99I0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'G99I0 Input'!F6</f>
        <v>SFS: Tea Serve Load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'G99I0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"&amp;'G99I0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'G99I0 TotalWO'!C15</f>
        <v>44180</v>
      </c>
      <c r="D15" s="55"/>
      <c r="E15" s="56">
        <f>'G99I0 TotalWO'!E15*'G99I0 Input'!$H$13</f>
        <v>0</v>
      </c>
      <c r="F15" s="68"/>
      <c r="G15" s="56">
        <f>'G99I0 TotalWO'!G15*'G99I0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'G99I0 TotalWO'!C16</f>
        <v>44211</v>
      </c>
      <c r="D16" s="55"/>
      <c r="E16" s="58">
        <f>'G99I0 TotalWO'!E16*'G99I0 Input'!$H$13</f>
        <v>0</v>
      </c>
      <c r="F16" s="68"/>
      <c r="G16" s="58">
        <f>'G99I0 TotalWO'!G16*'G99I0 Input'!$H$13</f>
        <v>1622640</v>
      </c>
      <c r="H16" s="59"/>
      <c r="I16" s="58">
        <f t="shared" si="0"/>
        <v>1622640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'G99I0 TotalWO'!E17*'G99I0 Input'!$H$13</f>
        <v>0</v>
      </c>
      <c r="F17" s="68"/>
      <c r="G17" s="68">
        <f>'G99I0 TotalWO'!G17*'G99I0 Input'!$H$13</f>
        <v>1622640</v>
      </c>
      <c r="H17" s="59"/>
      <c r="I17" s="59">
        <f t="shared" si="0"/>
        <v>1622640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'G99I0 TotalWO'!E18*'G99I0 Input'!$H$13</f>
        <v>0</v>
      </c>
      <c r="F18" s="68"/>
      <c r="G18" s="68">
        <f>'G99I0 TotalWO'!G18*'G99I0 Input'!$H$13</f>
        <v>1622640</v>
      </c>
      <c r="H18" s="59"/>
      <c r="I18" s="59">
        <f t="shared" si="0"/>
        <v>1622640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'G99I0 TotalWO'!E19*'G99I0 Input'!$H$13</f>
        <v>0</v>
      </c>
      <c r="F19" s="68"/>
      <c r="G19" s="68">
        <f>'G99I0 TotalWO'!G19*'G99I0 Input'!$H$13</f>
        <v>1622640</v>
      </c>
      <c r="H19" s="59"/>
      <c r="I19" s="59">
        <f t="shared" si="0"/>
        <v>1622640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'G99I0 TotalWO'!E20*'G99I0 Input'!$H$13</f>
        <v>0</v>
      </c>
      <c r="F20" s="68"/>
      <c r="G20" s="68">
        <f>'G99I0 TotalWO'!G20*'G99I0 Input'!$H$13</f>
        <v>1622640</v>
      </c>
      <c r="H20" s="59"/>
      <c r="I20" s="59">
        <f t="shared" si="0"/>
        <v>1622640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'G99I0 TotalWO'!E21*'G99I0 Input'!$H$13</f>
        <v>0</v>
      </c>
      <c r="F21" s="68"/>
      <c r="G21" s="68">
        <f>'G99I0 TotalWO'!G21*'G99I0 Input'!$H$13</f>
        <v>1622640</v>
      </c>
      <c r="H21" s="59"/>
      <c r="I21" s="59">
        <f t="shared" si="0"/>
        <v>1622640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'G99I0 TotalWO'!E22*'G99I0 Input'!$H$13</f>
        <v>0</v>
      </c>
      <c r="F22" s="68"/>
      <c r="G22" s="68">
        <f>'G99I0 TotalWO'!G22*'G99I0 Input'!$H$13</f>
        <v>1622640</v>
      </c>
      <c r="H22" s="59"/>
      <c r="I22" s="59">
        <f t="shared" si="0"/>
        <v>1622640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'G99I0 TotalWO'!E23*'G99I0 Input'!$H$13</f>
        <v>0</v>
      </c>
      <c r="F23" s="68"/>
      <c r="G23" s="68">
        <f>'G99I0 TotalWO'!G23*'G99I0 Input'!$H$13</f>
        <v>1622640</v>
      </c>
      <c r="H23" s="59"/>
      <c r="I23" s="59">
        <f t="shared" si="0"/>
        <v>1622640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'G99I0 TotalWO'!E24*'G99I0 Input'!$H$13</f>
        <v>0</v>
      </c>
      <c r="F24" s="68"/>
      <c r="G24" s="68">
        <f>'G99I0 TotalWO'!G24*'G99I0 Input'!$H$13</f>
        <v>1622640</v>
      </c>
      <c r="H24" s="59"/>
      <c r="I24" s="59">
        <f t="shared" si="0"/>
        <v>1622640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'G99I0 TotalWO'!E25*'G99I0 Input'!$H$13</f>
        <v>0</v>
      </c>
      <c r="F25" s="68"/>
      <c r="G25" s="68">
        <f>'G99I0 TotalWO'!G25*'G99I0 Input'!$H$13</f>
        <v>1622640</v>
      </c>
      <c r="H25" s="59"/>
      <c r="I25" s="59">
        <f t="shared" si="0"/>
        <v>1622640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'G99I0 TotalWO'!E26*'G99I0 Input'!$H$13</f>
        <v>0</v>
      </c>
      <c r="F26" s="68"/>
      <c r="G26" s="68">
        <f>'G99I0 TotalWO'!G26*'G99I0 Input'!$H$13</f>
        <v>1622640</v>
      </c>
      <c r="H26" s="59"/>
      <c r="I26" s="59">
        <f t="shared" si="0"/>
        <v>1622640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'G99I0 TotalWO'!E27*'G99I0 Input'!$H$13</f>
        <v>0</v>
      </c>
      <c r="F27" s="68"/>
      <c r="G27" s="71">
        <f>'G99I0 TotalWO'!G27*'G99I0 Input'!$H$13</f>
        <v>1622640</v>
      </c>
      <c r="H27" s="59"/>
      <c r="I27" s="61">
        <f t="shared" si="0"/>
        <v>1622640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19471680</v>
      </c>
      <c r="H28" s="64"/>
      <c r="I28" s="63">
        <f>SUM(I16:I27)</f>
        <v>19471680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1622640</v>
      </c>
      <c r="H30" s="64"/>
      <c r="I30" s="66">
        <f>ROUND(+I28/12,2)</f>
        <v>1622640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1622640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294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3.2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Tea Serve Load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2982.79</v>
      </c>
      <c r="H53" s="64"/>
      <c r="I53" s="63">
        <f t="shared" ref="I53:I64" si="4">G53-E53</f>
        <v>2982.79</v>
      </c>
      <c r="K53" s="58"/>
      <c r="M53" s="17">
        <f>+ROUND(M67/12,2)</f>
        <v>438.47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2982.79</v>
      </c>
      <c r="H54" s="57"/>
      <c r="I54" s="59">
        <f t="shared" si="4"/>
        <v>2982.79</v>
      </c>
      <c r="M54" s="85">
        <f>+M53</f>
        <v>438.47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2982.79</v>
      </c>
      <c r="H55" s="57"/>
      <c r="I55" s="59">
        <f t="shared" si="4"/>
        <v>2982.79</v>
      </c>
      <c r="M55" s="85">
        <f t="shared" ref="M55:M64" si="8">+M54</f>
        <v>438.47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2982.79</v>
      </c>
      <c r="H56" s="57"/>
      <c r="I56" s="59">
        <f t="shared" si="4"/>
        <v>2982.79</v>
      </c>
      <c r="M56" s="85">
        <f t="shared" si="8"/>
        <v>438.47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2982.79</v>
      </c>
      <c r="H57" s="57"/>
      <c r="I57" s="59">
        <f t="shared" si="4"/>
        <v>2982.79</v>
      </c>
      <c r="M57" s="85">
        <f t="shared" si="8"/>
        <v>438.47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2982.79</v>
      </c>
      <c r="H58" s="57"/>
      <c r="I58" s="59">
        <f t="shared" si="4"/>
        <v>2982.79</v>
      </c>
      <c r="M58" s="85">
        <f t="shared" si="8"/>
        <v>438.47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2982.79</v>
      </c>
      <c r="H59" s="57"/>
      <c r="I59" s="59">
        <f t="shared" si="4"/>
        <v>2982.79</v>
      </c>
      <c r="M59" s="85">
        <f>+M58-0.01</f>
        <v>438.46000000000004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2982.79</v>
      </c>
      <c r="H60" s="57"/>
      <c r="I60" s="59">
        <f t="shared" si="4"/>
        <v>2982.79</v>
      </c>
      <c r="M60" s="85">
        <f t="shared" si="8"/>
        <v>438.46000000000004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2982.79</v>
      </c>
      <c r="H61" s="57"/>
      <c r="I61" s="59">
        <f t="shared" si="4"/>
        <v>2982.79</v>
      </c>
      <c r="M61" s="85">
        <f t="shared" si="8"/>
        <v>438.46000000000004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2982.79</v>
      </c>
      <c r="H62" s="57"/>
      <c r="I62" s="59">
        <f t="shared" si="4"/>
        <v>2982.79</v>
      </c>
      <c r="M62" s="85">
        <f t="shared" si="8"/>
        <v>438.46000000000004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2982.79</v>
      </c>
      <c r="H63" s="57"/>
      <c r="I63" s="59">
        <f t="shared" si="4"/>
        <v>2982.79</v>
      </c>
      <c r="M63" s="85">
        <f t="shared" si="8"/>
        <v>438.46000000000004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2982.79</v>
      </c>
      <c r="H64" s="57"/>
      <c r="I64" s="61">
        <f t="shared" si="4"/>
        <v>2982.79</v>
      </c>
      <c r="M64" s="61">
        <f t="shared" si="8"/>
        <v>438.46000000000004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35793.480000000003</v>
      </c>
      <c r="H65" s="64"/>
      <c r="I65" s="63">
        <f>SUM(I53:I64)</f>
        <v>35793.480000000003</v>
      </c>
      <c r="M65" s="63">
        <f>SUM(M53:M64)</f>
        <v>5261.5800000000008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35793.480000000003</v>
      </c>
      <c r="K67" s="66">
        <f>ROUND(G16*K73,2)</f>
        <v>60849</v>
      </c>
      <c r="M67" s="66">
        <f>ROUND(+(K67-I67)*M73,2)</f>
        <v>5261.66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295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'G99I0 Input'!J13</f>
        <v>2.2058823529411766E-2</v>
      </c>
      <c r="F73" s="76"/>
      <c r="G73" s="76">
        <f>E73/12</f>
        <v>1.8382352941176473E-3</v>
      </c>
      <c r="K73" s="86">
        <f>+'G99I0 Input'!L13</f>
        <v>3.7499999999999999E-2</v>
      </c>
      <c r="M73" s="87">
        <f>+'G99I0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Tea Serve Load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2982.79</v>
      </c>
      <c r="H93" s="57"/>
      <c r="I93" s="58">
        <f t="shared" si="9"/>
        <v>2982.79</v>
      </c>
      <c r="M93" s="58">
        <f>+M53</f>
        <v>438.47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5965.58</v>
      </c>
      <c r="H94" s="57"/>
      <c r="I94" s="59">
        <f t="shared" si="9"/>
        <v>5965.58</v>
      </c>
      <c r="M94" s="59">
        <f>+M93+M54</f>
        <v>876.94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8948.369999999999</v>
      </c>
      <c r="H95" s="57"/>
      <c r="I95" s="59">
        <f t="shared" si="9"/>
        <v>8948.369999999999</v>
      </c>
      <c r="M95" s="59">
        <f t="shared" ref="M95:M104" si="14">+M94+M55</f>
        <v>1315.41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11931.16</v>
      </c>
      <c r="H96" s="57"/>
      <c r="I96" s="59">
        <f t="shared" si="9"/>
        <v>11931.16</v>
      </c>
      <c r="M96" s="59">
        <f t="shared" si="14"/>
        <v>1753.88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14913.95</v>
      </c>
      <c r="H97" s="57"/>
      <c r="I97" s="59">
        <f t="shared" si="9"/>
        <v>14913.95</v>
      </c>
      <c r="M97" s="59">
        <f t="shared" si="14"/>
        <v>2192.3500000000004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17896.740000000002</v>
      </c>
      <c r="H98" s="57"/>
      <c r="I98" s="59">
        <f t="shared" si="9"/>
        <v>17896.740000000002</v>
      </c>
      <c r="M98" s="59">
        <f t="shared" si="14"/>
        <v>2630.8200000000006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20879.530000000002</v>
      </c>
      <c r="H99" s="57"/>
      <c r="I99" s="59">
        <f t="shared" si="9"/>
        <v>20879.530000000002</v>
      </c>
      <c r="M99" s="59">
        <f t="shared" si="14"/>
        <v>3069.2800000000007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23862.320000000003</v>
      </c>
      <c r="H100" s="57"/>
      <c r="I100" s="59">
        <f t="shared" si="9"/>
        <v>23862.320000000003</v>
      </c>
      <c r="M100" s="59">
        <f t="shared" si="14"/>
        <v>3507.7400000000007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26845.110000000004</v>
      </c>
      <c r="H101" s="57"/>
      <c r="I101" s="59">
        <f t="shared" si="9"/>
        <v>26845.110000000004</v>
      </c>
      <c r="M101" s="59">
        <f t="shared" si="14"/>
        <v>3946.2000000000007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29827.900000000005</v>
      </c>
      <c r="H102" s="57"/>
      <c r="I102" s="59">
        <f t="shared" si="9"/>
        <v>29827.900000000005</v>
      </c>
      <c r="M102" s="59">
        <f t="shared" si="14"/>
        <v>4384.6600000000008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32810.69</v>
      </c>
      <c r="H103" s="57"/>
      <c r="I103" s="59">
        <f t="shared" si="9"/>
        <v>32810.69</v>
      </c>
      <c r="M103" s="59">
        <f t="shared" si="14"/>
        <v>4823.1200000000008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35793.480000000003</v>
      </c>
      <c r="H104" s="57"/>
      <c r="I104" s="61">
        <f t="shared" si="9"/>
        <v>35793.480000000003</v>
      </c>
      <c r="M104" s="61">
        <f t="shared" si="14"/>
        <v>5261.5800000000008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232657.62000000002</v>
      </c>
      <c r="H105" s="64"/>
      <c r="I105" s="63">
        <f>SUM(I93:I104)</f>
        <v>232657.62000000002</v>
      </c>
      <c r="M105" s="63">
        <f>SUM(M93:M104)</f>
        <v>34200.450000000004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19388.14</v>
      </c>
      <c r="H107" s="64"/>
      <c r="I107" s="66">
        <f>ROUND(+I105/12,2)</f>
        <v>19388.14</v>
      </c>
      <c r="M107" s="66">
        <f>ROUND(+M105/12,2)</f>
        <v>2850.04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19388.14</v>
      </c>
      <c r="M110" s="78">
        <f>+M107</f>
        <v>2850.04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296</v>
      </c>
      <c r="M112" s="62" t="s">
        <v>297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74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6.25" customHeight="1">
      <c r="A3" s="121" t="str">
        <f>'G99I0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'G99I0 Input'!F6</f>
        <v>SFS: Tea Serve Load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SFS: Tea Serve Load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1:L1"/>
    <mergeCell ref="A2:L2"/>
    <mergeCell ref="A3:L3"/>
    <mergeCell ref="A4:L4"/>
    <mergeCell ref="A5:L5"/>
    <mergeCell ref="A73:L73"/>
    <mergeCell ref="A74:L74"/>
    <mergeCell ref="A6:L6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5.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298</v>
      </c>
      <c r="E6" s="34"/>
      <c r="F6" s="127" t="s">
        <v>299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45170</v>
      </c>
    </row>
    <row r="28" spans="1:10">
      <c r="A28" s="36">
        <v>16</v>
      </c>
      <c r="B28" s="34" t="s">
        <v>97</v>
      </c>
      <c r="D28" s="108">
        <v>243878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300</v>
      </c>
    </row>
    <row r="33" spans="2:2">
      <c r="B33" s="44" t="s">
        <v>301</v>
      </c>
    </row>
    <row r="34" spans="2:2">
      <c r="B34" s="44" t="s">
        <v>302</v>
      </c>
    </row>
    <row r="35" spans="2:2">
      <c r="B35" s="44" t="s">
        <v>303</v>
      </c>
    </row>
    <row r="36" spans="2:2">
      <c r="B36" s="44" t="s">
        <v>304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'G9BDN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'G9BDN Input'!F6</f>
        <v>SFS: Hwy 42 and Highway 11 Reb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'G9BDN Input'!B13</f>
        <v>44180</v>
      </c>
      <c r="D15" s="55"/>
      <c r="E15" s="56">
        <f>'G9BDN Input'!D13*'G9BDN Input'!$D$7*'G9BDN Input'!$H$7</f>
        <v>0</v>
      </c>
      <c r="F15" s="57"/>
      <c r="G15" s="56">
        <f>'G9BDN Input'!D27*'G9BDN Input'!D6*'G9BDN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'G9BDN Input'!B14</f>
        <v>44211</v>
      </c>
      <c r="D16" s="55"/>
      <c r="E16" s="58">
        <f>'G9BDN Input'!D14*'G9BDN Input'!$D$7*'G9BDN Input'!$H$7</f>
        <v>0</v>
      </c>
      <c r="F16" s="57"/>
      <c r="G16" s="58">
        <f>'G9BDN Input'!D28*'G9BDN Input'!D7*'G9BDN Input'!H7</f>
        <v>243878</v>
      </c>
      <c r="H16" s="57"/>
      <c r="I16" s="58">
        <f t="shared" si="0"/>
        <v>243878</v>
      </c>
    </row>
    <row r="17" spans="1:10">
      <c r="A17" s="48">
        <f t="shared" si="1"/>
        <v>3</v>
      </c>
      <c r="C17" s="55">
        <f>'G9BDN Input'!B15</f>
        <v>44241</v>
      </c>
      <c r="D17" s="55"/>
      <c r="E17" s="58">
        <f>'G9BDN Input'!D15*'G9BDN Input'!$D$7*'G9BDN Input'!$H$7</f>
        <v>0</v>
      </c>
      <c r="F17" s="57"/>
      <c r="G17" s="59">
        <f t="shared" ref="G17:G27" si="2">$G$16</f>
        <v>243878</v>
      </c>
      <c r="H17" s="57"/>
      <c r="I17" s="59">
        <f t="shared" si="0"/>
        <v>243878</v>
      </c>
      <c r="J17" s="57"/>
    </row>
    <row r="18" spans="1:10">
      <c r="A18" s="48">
        <f t="shared" si="1"/>
        <v>4</v>
      </c>
      <c r="C18" s="55">
        <f>'G9BDN Input'!B16</f>
        <v>44271</v>
      </c>
      <c r="D18" s="55"/>
      <c r="E18" s="58">
        <f>'G9BDN Input'!D16*'G9BDN Input'!$D$7*'G9BDN Input'!$H$7</f>
        <v>0</v>
      </c>
      <c r="F18" s="57"/>
      <c r="G18" s="59">
        <f t="shared" si="2"/>
        <v>243878</v>
      </c>
      <c r="H18" s="57"/>
      <c r="I18" s="59">
        <f t="shared" si="0"/>
        <v>243878</v>
      </c>
      <c r="J18" s="57"/>
    </row>
    <row r="19" spans="1:10">
      <c r="A19" s="48">
        <f t="shared" si="1"/>
        <v>5</v>
      </c>
      <c r="C19" s="55">
        <f>'G9BDN Input'!B17</f>
        <v>44301</v>
      </c>
      <c r="D19" s="55"/>
      <c r="E19" s="58">
        <f>'G9BDN Input'!D17*'G9BDN Input'!$D$7*'G9BDN Input'!$H$7</f>
        <v>0</v>
      </c>
      <c r="F19" s="57"/>
      <c r="G19" s="59">
        <f t="shared" si="2"/>
        <v>243878</v>
      </c>
      <c r="H19" s="57"/>
      <c r="I19" s="59">
        <f t="shared" si="0"/>
        <v>243878</v>
      </c>
      <c r="J19" s="57"/>
    </row>
    <row r="20" spans="1:10">
      <c r="A20" s="48">
        <f t="shared" si="1"/>
        <v>6</v>
      </c>
      <c r="C20" s="55">
        <f>'G9BDN Input'!B18</f>
        <v>44331</v>
      </c>
      <c r="D20" s="55"/>
      <c r="E20" s="58">
        <f>'G9BDN Input'!D18*'G9BDN Input'!$D$7*'G9BDN Input'!$H$7</f>
        <v>0</v>
      </c>
      <c r="F20" s="57"/>
      <c r="G20" s="59">
        <f t="shared" si="2"/>
        <v>243878</v>
      </c>
      <c r="H20" s="57"/>
      <c r="I20" s="59">
        <f t="shared" si="0"/>
        <v>243878</v>
      </c>
      <c r="J20" s="57"/>
    </row>
    <row r="21" spans="1:10">
      <c r="A21" s="48">
        <f t="shared" si="1"/>
        <v>7</v>
      </c>
      <c r="C21" s="55">
        <f>'G9BDN Input'!B19</f>
        <v>44361</v>
      </c>
      <c r="D21" s="55"/>
      <c r="E21" s="58">
        <f>'G9BDN Input'!D19*'G9BDN Input'!$D$7*'G9BDN Input'!$H$7</f>
        <v>0</v>
      </c>
      <c r="F21" s="57"/>
      <c r="G21" s="59">
        <f t="shared" si="2"/>
        <v>243878</v>
      </c>
      <c r="H21" s="57"/>
      <c r="I21" s="59">
        <f t="shared" si="0"/>
        <v>243878</v>
      </c>
      <c r="J21" s="57"/>
    </row>
    <row r="22" spans="1:10">
      <c r="A22" s="48">
        <f t="shared" si="1"/>
        <v>8</v>
      </c>
      <c r="C22" s="55">
        <f>'G9BDN Input'!B20</f>
        <v>44391</v>
      </c>
      <c r="D22" s="55"/>
      <c r="E22" s="58">
        <f>'G9BDN Input'!D20*'G9BDN Input'!$D$7*'G9BDN Input'!$H$7</f>
        <v>0</v>
      </c>
      <c r="F22" s="57"/>
      <c r="G22" s="59">
        <f t="shared" si="2"/>
        <v>243878</v>
      </c>
      <c r="H22" s="57"/>
      <c r="I22" s="59">
        <f t="shared" si="0"/>
        <v>243878</v>
      </c>
      <c r="J22" s="57"/>
    </row>
    <row r="23" spans="1:10">
      <c r="A23" s="48">
        <f t="shared" si="1"/>
        <v>9</v>
      </c>
      <c r="C23" s="55">
        <f>'G9BDN Input'!B21</f>
        <v>44421</v>
      </c>
      <c r="D23" s="55"/>
      <c r="E23" s="58">
        <f>'G9BDN Input'!D21*'G9BDN Input'!$D$7*'G9BDN Input'!$H$7</f>
        <v>0</v>
      </c>
      <c r="F23" s="57"/>
      <c r="G23" s="59">
        <f t="shared" si="2"/>
        <v>243878</v>
      </c>
      <c r="H23" s="57"/>
      <c r="I23" s="59">
        <f t="shared" si="0"/>
        <v>243878</v>
      </c>
      <c r="J23" s="57"/>
    </row>
    <row r="24" spans="1:10">
      <c r="A24" s="48">
        <f t="shared" si="1"/>
        <v>10</v>
      </c>
      <c r="C24" s="55">
        <f>'G9BDN Input'!B22</f>
        <v>44451</v>
      </c>
      <c r="D24" s="55"/>
      <c r="E24" s="58">
        <f>'G9BDN Input'!D22*'G9BDN Input'!$D$7*'G9BDN Input'!$H$7</f>
        <v>0</v>
      </c>
      <c r="F24" s="57"/>
      <c r="G24" s="59">
        <f t="shared" si="2"/>
        <v>243878</v>
      </c>
      <c r="H24" s="57"/>
      <c r="I24" s="59">
        <f t="shared" si="0"/>
        <v>243878</v>
      </c>
      <c r="J24" s="57"/>
    </row>
    <row r="25" spans="1:10">
      <c r="A25" s="48">
        <f t="shared" si="1"/>
        <v>11</v>
      </c>
      <c r="C25" s="55">
        <f>'G9BDN Input'!B23</f>
        <v>44481</v>
      </c>
      <c r="D25" s="55"/>
      <c r="E25" s="58">
        <f>'G9BDN Input'!D23*'G9BDN Input'!$D$7*'G9BDN Input'!$H$7</f>
        <v>0</v>
      </c>
      <c r="F25" s="57"/>
      <c r="G25" s="59">
        <f t="shared" si="2"/>
        <v>243878</v>
      </c>
      <c r="H25" s="57"/>
      <c r="I25" s="59">
        <f t="shared" si="0"/>
        <v>243878</v>
      </c>
      <c r="J25" s="57"/>
    </row>
    <row r="26" spans="1:10">
      <c r="A26" s="48">
        <f t="shared" si="1"/>
        <v>12</v>
      </c>
      <c r="C26" s="55">
        <f>'G9BDN Input'!B24</f>
        <v>44511</v>
      </c>
      <c r="D26" s="55"/>
      <c r="E26" s="58">
        <f>'G9BDN Input'!D24*'G9BDN Input'!$D$7*'G9BDN Input'!$H$7</f>
        <v>0</v>
      </c>
      <c r="F26" s="57"/>
      <c r="G26" s="59">
        <f t="shared" si="2"/>
        <v>243878</v>
      </c>
      <c r="H26" s="57"/>
      <c r="I26" s="59">
        <f t="shared" si="0"/>
        <v>243878</v>
      </c>
      <c r="J26" s="57"/>
    </row>
    <row r="27" spans="1:10">
      <c r="A27" s="48">
        <f t="shared" si="1"/>
        <v>13</v>
      </c>
      <c r="C27" s="55">
        <f>'G9BDN Input'!B25</f>
        <v>44541</v>
      </c>
      <c r="D27" s="55"/>
      <c r="E27" s="60">
        <f>'G9BDN Input'!D25*'G9BDN Input'!$D$7*'G9BDN Input'!$H$7</f>
        <v>0</v>
      </c>
      <c r="F27" s="57"/>
      <c r="G27" s="61">
        <f t="shared" si="2"/>
        <v>243878</v>
      </c>
      <c r="H27" s="57"/>
      <c r="I27" s="61">
        <f t="shared" si="0"/>
        <v>243878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2926536</v>
      </c>
      <c r="H28" s="64"/>
      <c r="I28" s="63">
        <f>SUM(I16:I27)</f>
        <v>2926536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243878</v>
      </c>
      <c r="H30" s="64"/>
      <c r="I30" s="66">
        <f>ROUND(+I28/12,2)</f>
        <v>243878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243878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71093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2.5" customHeight="1">
      <c r="A3" s="119" t="str">
        <f>'G9BDN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'G9BDN Input'!F6</f>
        <v>SFS: Hwy 42 and Highway 11 Reb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'G9BDN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"&amp;'G9BDN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'G9BDN TotalWO'!C15</f>
        <v>44180</v>
      </c>
      <c r="D15" s="55"/>
      <c r="E15" s="56">
        <f>'G9BDN TotalWO'!E15*'G9BDN Input'!$H$13</f>
        <v>0</v>
      </c>
      <c r="F15" s="68"/>
      <c r="G15" s="56">
        <f>'G9BDN TotalWO'!G15*'G9BDN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'G9BDN TotalWO'!C16</f>
        <v>44211</v>
      </c>
      <c r="D16" s="55"/>
      <c r="E16" s="58">
        <f>'G9BDN TotalWO'!E16*'G9BDN Input'!$H$13</f>
        <v>0</v>
      </c>
      <c r="F16" s="68"/>
      <c r="G16" s="58">
        <f>'G9BDN TotalWO'!G16*'G9BDN Input'!$H$13</f>
        <v>243878</v>
      </c>
      <c r="H16" s="59"/>
      <c r="I16" s="58">
        <f t="shared" si="0"/>
        <v>243878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'G9BDN TotalWO'!E17*'G9BDN Input'!$H$13</f>
        <v>0</v>
      </c>
      <c r="F17" s="68"/>
      <c r="G17" s="68">
        <f>'G9BDN TotalWO'!G17*'G9BDN Input'!$H$13</f>
        <v>243878</v>
      </c>
      <c r="H17" s="59"/>
      <c r="I17" s="59">
        <f t="shared" si="0"/>
        <v>243878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'G9BDN TotalWO'!E18*'G9BDN Input'!$H$13</f>
        <v>0</v>
      </c>
      <c r="F18" s="68"/>
      <c r="G18" s="68">
        <f>'G9BDN TotalWO'!G18*'G9BDN Input'!$H$13</f>
        <v>243878</v>
      </c>
      <c r="H18" s="59"/>
      <c r="I18" s="59">
        <f t="shared" si="0"/>
        <v>243878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'G9BDN TotalWO'!E19*'G9BDN Input'!$H$13</f>
        <v>0</v>
      </c>
      <c r="F19" s="68"/>
      <c r="G19" s="68">
        <f>'G9BDN TotalWO'!G19*'G9BDN Input'!$H$13</f>
        <v>243878</v>
      </c>
      <c r="H19" s="59"/>
      <c r="I19" s="59">
        <f t="shared" si="0"/>
        <v>243878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'G9BDN TotalWO'!E20*'G9BDN Input'!$H$13</f>
        <v>0</v>
      </c>
      <c r="F20" s="68"/>
      <c r="G20" s="68">
        <f>'G9BDN TotalWO'!G20*'G9BDN Input'!$H$13</f>
        <v>243878</v>
      </c>
      <c r="H20" s="59"/>
      <c r="I20" s="59">
        <f t="shared" si="0"/>
        <v>243878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'G9BDN TotalWO'!E21*'G9BDN Input'!$H$13</f>
        <v>0</v>
      </c>
      <c r="F21" s="68"/>
      <c r="G21" s="68">
        <f>'G9BDN TotalWO'!G21*'G9BDN Input'!$H$13</f>
        <v>243878</v>
      </c>
      <c r="H21" s="59"/>
      <c r="I21" s="59">
        <f t="shared" si="0"/>
        <v>243878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'G9BDN TotalWO'!E22*'G9BDN Input'!$H$13</f>
        <v>0</v>
      </c>
      <c r="F22" s="68"/>
      <c r="G22" s="68">
        <f>'G9BDN TotalWO'!G22*'G9BDN Input'!$H$13</f>
        <v>243878</v>
      </c>
      <c r="H22" s="59"/>
      <c r="I22" s="59">
        <f t="shared" si="0"/>
        <v>243878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'G9BDN TotalWO'!E23*'G9BDN Input'!$H$13</f>
        <v>0</v>
      </c>
      <c r="F23" s="68"/>
      <c r="G23" s="68">
        <f>'G9BDN TotalWO'!G23*'G9BDN Input'!$H$13</f>
        <v>243878</v>
      </c>
      <c r="H23" s="59"/>
      <c r="I23" s="59">
        <f t="shared" si="0"/>
        <v>243878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'G9BDN TotalWO'!E24*'G9BDN Input'!$H$13</f>
        <v>0</v>
      </c>
      <c r="F24" s="68"/>
      <c r="G24" s="68">
        <f>'G9BDN TotalWO'!G24*'G9BDN Input'!$H$13</f>
        <v>243878</v>
      </c>
      <c r="H24" s="59"/>
      <c r="I24" s="59">
        <f t="shared" si="0"/>
        <v>243878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'G9BDN TotalWO'!E25*'G9BDN Input'!$H$13</f>
        <v>0</v>
      </c>
      <c r="F25" s="68"/>
      <c r="G25" s="68">
        <f>'G9BDN TotalWO'!G25*'G9BDN Input'!$H$13</f>
        <v>243878</v>
      </c>
      <c r="H25" s="59"/>
      <c r="I25" s="59">
        <f t="shared" si="0"/>
        <v>243878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'G9BDN TotalWO'!E26*'G9BDN Input'!$H$13</f>
        <v>0</v>
      </c>
      <c r="F26" s="68"/>
      <c r="G26" s="68">
        <f>'G9BDN TotalWO'!G26*'G9BDN Input'!$H$13</f>
        <v>243878</v>
      </c>
      <c r="H26" s="59"/>
      <c r="I26" s="59">
        <f t="shared" si="0"/>
        <v>243878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'G9BDN TotalWO'!E27*'G9BDN Input'!$H$13</f>
        <v>0</v>
      </c>
      <c r="F27" s="68"/>
      <c r="G27" s="71">
        <f>'G9BDN TotalWO'!G27*'G9BDN Input'!$H$13</f>
        <v>243878</v>
      </c>
      <c r="H27" s="59"/>
      <c r="I27" s="61">
        <f t="shared" si="0"/>
        <v>243878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2926536</v>
      </c>
      <c r="H28" s="64"/>
      <c r="I28" s="63">
        <f>SUM(I16:I27)</f>
        <v>2926536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243878</v>
      </c>
      <c r="H30" s="64"/>
      <c r="I30" s="66">
        <f>ROUND(+I28/12,2)</f>
        <v>243878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243878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305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Hwy 42 and Highway 11 Reb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448.31</v>
      </c>
      <c r="H53" s="64"/>
      <c r="I53" s="63">
        <f t="shared" ref="I53:I64" si="4">G53-E53</f>
        <v>448.31</v>
      </c>
      <c r="K53" s="58"/>
      <c r="M53" s="17">
        <f>+ROUND(M67/12,2)</f>
        <v>65.900000000000006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448.31</v>
      </c>
      <c r="H54" s="57"/>
      <c r="I54" s="59">
        <f t="shared" si="4"/>
        <v>448.31</v>
      </c>
      <c r="M54" s="85">
        <f>+M53</f>
        <v>65.900000000000006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448.31</v>
      </c>
      <c r="H55" s="57"/>
      <c r="I55" s="59">
        <f t="shared" si="4"/>
        <v>448.31</v>
      </c>
      <c r="M55" s="85">
        <f t="shared" ref="M55:M63" si="8">+M54</f>
        <v>65.900000000000006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448.31</v>
      </c>
      <c r="H56" s="57"/>
      <c r="I56" s="59">
        <f t="shared" si="4"/>
        <v>448.31</v>
      </c>
      <c r="M56" s="85">
        <f t="shared" si="8"/>
        <v>65.900000000000006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448.31</v>
      </c>
      <c r="H57" s="57"/>
      <c r="I57" s="59">
        <f t="shared" si="4"/>
        <v>448.31</v>
      </c>
      <c r="M57" s="85">
        <f t="shared" si="8"/>
        <v>65.900000000000006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448.31</v>
      </c>
      <c r="H58" s="57"/>
      <c r="I58" s="59">
        <f t="shared" si="4"/>
        <v>448.31</v>
      </c>
      <c r="M58" s="85">
        <f t="shared" si="8"/>
        <v>65.900000000000006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448.31</v>
      </c>
      <c r="H59" s="57"/>
      <c r="I59" s="59">
        <f t="shared" si="4"/>
        <v>448.31</v>
      </c>
      <c r="M59" s="85">
        <f t="shared" si="8"/>
        <v>65.900000000000006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448.31</v>
      </c>
      <c r="H60" s="57"/>
      <c r="I60" s="59">
        <f t="shared" si="4"/>
        <v>448.31</v>
      </c>
      <c r="M60" s="85">
        <f t="shared" si="8"/>
        <v>65.900000000000006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448.31</v>
      </c>
      <c r="H61" s="57"/>
      <c r="I61" s="59">
        <f t="shared" si="4"/>
        <v>448.31</v>
      </c>
      <c r="M61" s="85">
        <f t="shared" si="8"/>
        <v>65.900000000000006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448.31</v>
      </c>
      <c r="H62" s="57"/>
      <c r="I62" s="59">
        <f t="shared" si="4"/>
        <v>448.31</v>
      </c>
      <c r="M62" s="85">
        <f t="shared" si="8"/>
        <v>65.900000000000006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448.31</v>
      </c>
      <c r="H63" s="57"/>
      <c r="I63" s="59">
        <f t="shared" si="4"/>
        <v>448.31</v>
      </c>
      <c r="M63" s="85">
        <f t="shared" si="8"/>
        <v>65.900000000000006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448.31</v>
      </c>
      <c r="H64" s="57"/>
      <c r="I64" s="61">
        <f t="shared" si="4"/>
        <v>448.31</v>
      </c>
      <c r="M64" s="61">
        <f>+M63+0.01</f>
        <v>65.910000000000011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5379.7200000000012</v>
      </c>
      <c r="H65" s="64"/>
      <c r="I65" s="63">
        <f>SUM(I53:I64)</f>
        <v>5379.7200000000012</v>
      </c>
      <c r="M65" s="63">
        <f>SUM(M53:M64)</f>
        <v>790.80999999999983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5379.7200000000012</v>
      </c>
      <c r="K67" s="66">
        <f>ROUND(G16*K73,2)</f>
        <v>9145.43</v>
      </c>
      <c r="M67" s="66">
        <f>ROUND(+(K67-I67)*M73,2)</f>
        <v>790.8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306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'G9BDN Input'!J13</f>
        <v>2.2058823529411766E-2</v>
      </c>
      <c r="F73" s="76"/>
      <c r="G73" s="76">
        <f>E73/12</f>
        <v>1.8382352941176473E-3</v>
      </c>
      <c r="K73" s="86">
        <f>+'G9BDN Input'!L13</f>
        <v>3.7499999999999999E-2</v>
      </c>
      <c r="M73" s="87">
        <f>+'G9BDN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4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Hwy 42 and Highway 11 Reb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448.31</v>
      </c>
      <c r="H93" s="57"/>
      <c r="I93" s="58">
        <f t="shared" si="9"/>
        <v>448.31</v>
      </c>
      <c r="M93" s="58">
        <f>+M53</f>
        <v>65.900000000000006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896.62</v>
      </c>
      <c r="H94" s="57"/>
      <c r="I94" s="59">
        <f t="shared" si="9"/>
        <v>896.62</v>
      </c>
      <c r="M94" s="59">
        <f>+M93+M54</f>
        <v>131.80000000000001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1344.93</v>
      </c>
      <c r="H95" s="57"/>
      <c r="I95" s="59">
        <f t="shared" si="9"/>
        <v>1344.93</v>
      </c>
      <c r="M95" s="59">
        <f t="shared" ref="M95:M104" si="14">+M94+M55</f>
        <v>197.70000000000002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1793.24</v>
      </c>
      <c r="H96" s="57"/>
      <c r="I96" s="59">
        <f t="shared" si="9"/>
        <v>1793.24</v>
      </c>
      <c r="M96" s="59">
        <f t="shared" si="14"/>
        <v>263.60000000000002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2241.5500000000002</v>
      </c>
      <c r="H97" s="57"/>
      <c r="I97" s="59">
        <f t="shared" si="9"/>
        <v>2241.5500000000002</v>
      </c>
      <c r="M97" s="59">
        <f t="shared" si="14"/>
        <v>329.5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2689.86</v>
      </c>
      <c r="H98" s="57"/>
      <c r="I98" s="59">
        <f t="shared" si="9"/>
        <v>2689.86</v>
      </c>
      <c r="M98" s="59">
        <f t="shared" si="14"/>
        <v>395.4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3138.17</v>
      </c>
      <c r="H99" s="57"/>
      <c r="I99" s="59">
        <f t="shared" si="9"/>
        <v>3138.17</v>
      </c>
      <c r="M99" s="59">
        <f t="shared" si="14"/>
        <v>461.29999999999995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3586.48</v>
      </c>
      <c r="H100" s="57"/>
      <c r="I100" s="59">
        <f t="shared" si="9"/>
        <v>3586.48</v>
      </c>
      <c r="M100" s="59">
        <f t="shared" si="14"/>
        <v>527.19999999999993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4034.79</v>
      </c>
      <c r="H101" s="57"/>
      <c r="I101" s="59">
        <f t="shared" si="9"/>
        <v>4034.79</v>
      </c>
      <c r="M101" s="59">
        <f t="shared" si="14"/>
        <v>593.09999999999991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4483.1000000000004</v>
      </c>
      <c r="H102" s="57"/>
      <c r="I102" s="59">
        <f t="shared" si="9"/>
        <v>4483.1000000000004</v>
      </c>
      <c r="M102" s="59">
        <f t="shared" si="14"/>
        <v>658.99999999999989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4931.4100000000008</v>
      </c>
      <c r="H103" s="57"/>
      <c r="I103" s="59">
        <f t="shared" si="9"/>
        <v>4931.4100000000008</v>
      </c>
      <c r="M103" s="59">
        <f t="shared" si="14"/>
        <v>724.89999999999986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5379.7200000000012</v>
      </c>
      <c r="H104" s="57"/>
      <c r="I104" s="61">
        <f t="shared" si="9"/>
        <v>5379.7200000000012</v>
      </c>
      <c r="M104" s="61">
        <f t="shared" si="14"/>
        <v>790.80999999999983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34968.180000000008</v>
      </c>
      <c r="H105" s="64"/>
      <c r="I105" s="63">
        <f>SUM(I93:I104)</f>
        <v>34968.180000000008</v>
      </c>
      <c r="M105" s="63">
        <f>SUM(M93:M104)</f>
        <v>5140.2099999999991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2914.02</v>
      </c>
      <c r="H107" s="64"/>
      <c r="I107" s="66">
        <f>ROUND(+I105/12,2)</f>
        <v>2914.02</v>
      </c>
      <c r="M107" s="66">
        <f>ROUND(+M105/12,2)</f>
        <v>428.35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2914.02</v>
      </c>
      <c r="M110" s="78">
        <f>+M107</f>
        <v>428.35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307</v>
      </c>
      <c r="M112" s="62" t="s">
        <v>308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74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'G9BDN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'G9BDN Input'!F6</f>
        <v>SFS: Hwy 42 and Highway 11 Reb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 t="str">
        <f t="shared" ref="A71:A74" si="0">A3</f>
        <v>Pro-Forma Adjustment - System Reliability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1" t="str">
        <f t="shared" si="0"/>
        <v>SFS: Hwy 42 and Highway 11 Reb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2"/>
      <c r="L74" s="122"/>
    </row>
  </sheetData>
  <mergeCells count="12">
    <mergeCell ref="A1:L1"/>
    <mergeCell ref="A2:L2"/>
    <mergeCell ref="A3:L3"/>
    <mergeCell ref="A4:L4"/>
    <mergeCell ref="A5:L5"/>
    <mergeCell ref="A73:L73"/>
    <mergeCell ref="A74:L74"/>
    <mergeCell ref="A6:L6"/>
    <mergeCell ref="A69:L69"/>
    <mergeCell ref="A70:L70"/>
    <mergeCell ref="A71:L71"/>
    <mergeCell ref="A72:L72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6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108" t="s">
        <v>309</v>
      </c>
      <c r="E6" s="34"/>
      <c r="F6" s="127" t="s">
        <v>310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45078</v>
      </c>
    </row>
    <row r="28" spans="1:10">
      <c r="A28" s="36">
        <v>16</v>
      </c>
      <c r="B28" s="34" t="s">
        <v>97</v>
      </c>
      <c r="D28" s="108">
        <v>134796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311</v>
      </c>
    </row>
    <row r="33" spans="2:2">
      <c r="B33" s="44" t="s">
        <v>312</v>
      </c>
    </row>
    <row r="34" spans="2:2">
      <c r="B34" s="44" t="s">
        <v>313</v>
      </c>
    </row>
    <row r="35" spans="2:2">
      <c r="B35" s="44" t="s">
        <v>314</v>
      </c>
    </row>
    <row r="36" spans="2:2">
      <c r="B36" s="44" t="s">
        <v>315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4" customHeight="1">
      <c r="A3" s="49" t="str">
        <f>'G9BDU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'G9BDU Input'!F6</f>
        <v>SFS 85th St to I29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'G9BDU Input'!B13</f>
        <v>44180</v>
      </c>
      <c r="D15" s="55"/>
      <c r="E15" s="56">
        <f>'G9BDU Input'!D13*'G9BDU Input'!$D$7*'G9BDU Input'!$H$7</f>
        <v>0</v>
      </c>
      <c r="F15" s="57"/>
      <c r="G15" s="56">
        <f>'G9BDU Input'!D27*'G9BDU Input'!D6*'G9BDU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'G9BDU Input'!B14</f>
        <v>44211</v>
      </c>
      <c r="D16" s="55"/>
      <c r="E16" s="58">
        <f>'G9BDU Input'!D14*'G9BDU Input'!$D$7*'G9BDU Input'!$H$7</f>
        <v>0</v>
      </c>
      <c r="F16" s="57"/>
      <c r="G16" s="58">
        <f>'G9BDU Input'!D28*'G9BDU Input'!D7*'G9BDU Input'!H7</f>
        <v>134796</v>
      </c>
      <c r="H16" s="57"/>
      <c r="I16" s="58">
        <f t="shared" si="0"/>
        <v>134796</v>
      </c>
    </row>
    <row r="17" spans="1:10">
      <c r="A17" s="48">
        <f t="shared" si="1"/>
        <v>3</v>
      </c>
      <c r="C17" s="55">
        <f>'G9BDU Input'!B15</f>
        <v>44241</v>
      </c>
      <c r="D17" s="55"/>
      <c r="E17" s="58">
        <f>'G9BDU Input'!D15*'G9BDU Input'!$D$7*'G9BDU Input'!$H$7</f>
        <v>0</v>
      </c>
      <c r="F17" s="57"/>
      <c r="G17" s="59">
        <f t="shared" ref="G17:G27" si="2">$G$16</f>
        <v>134796</v>
      </c>
      <c r="H17" s="57"/>
      <c r="I17" s="59">
        <f t="shared" si="0"/>
        <v>134796</v>
      </c>
      <c r="J17" s="57"/>
    </row>
    <row r="18" spans="1:10">
      <c r="A18" s="48">
        <f t="shared" si="1"/>
        <v>4</v>
      </c>
      <c r="C18" s="55">
        <f>'G9BDU Input'!B16</f>
        <v>44271</v>
      </c>
      <c r="D18" s="55"/>
      <c r="E18" s="58">
        <f>'G9BDU Input'!D16*'G9BDU Input'!$D$7*'G9BDU Input'!$H$7</f>
        <v>0</v>
      </c>
      <c r="F18" s="57"/>
      <c r="G18" s="59">
        <f t="shared" si="2"/>
        <v>134796</v>
      </c>
      <c r="H18" s="57"/>
      <c r="I18" s="59">
        <f t="shared" si="0"/>
        <v>134796</v>
      </c>
      <c r="J18" s="57"/>
    </row>
    <row r="19" spans="1:10">
      <c r="A19" s="48">
        <f t="shared" si="1"/>
        <v>5</v>
      </c>
      <c r="C19" s="55">
        <f>'G9BDU Input'!B17</f>
        <v>44301</v>
      </c>
      <c r="D19" s="55"/>
      <c r="E19" s="58">
        <f>'G9BDU Input'!D17*'G9BDU Input'!$D$7*'G9BDU Input'!$H$7</f>
        <v>0</v>
      </c>
      <c r="F19" s="57"/>
      <c r="G19" s="59">
        <f t="shared" si="2"/>
        <v>134796</v>
      </c>
      <c r="H19" s="57"/>
      <c r="I19" s="59">
        <f t="shared" si="0"/>
        <v>134796</v>
      </c>
      <c r="J19" s="57"/>
    </row>
    <row r="20" spans="1:10">
      <c r="A20" s="48">
        <f t="shared" si="1"/>
        <v>6</v>
      </c>
      <c r="C20" s="55">
        <f>'G9BDU Input'!B18</f>
        <v>44331</v>
      </c>
      <c r="D20" s="55"/>
      <c r="E20" s="58">
        <f>'G9BDU Input'!D18*'G9BDU Input'!$D$7*'G9BDU Input'!$H$7</f>
        <v>0</v>
      </c>
      <c r="F20" s="57"/>
      <c r="G20" s="59">
        <f t="shared" si="2"/>
        <v>134796</v>
      </c>
      <c r="H20" s="57"/>
      <c r="I20" s="59">
        <f t="shared" si="0"/>
        <v>134796</v>
      </c>
      <c r="J20" s="57"/>
    </row>
    <row r="21" spans="1:10">
      <c r="A21" s="48">
        <f t="shared" si="1"/>
        <v>7</v>
      </c>
      <c r="C21" s="55">
        <f>'G9BDU Input'!B19</f>
        <v>44361</v>
      </c>
      <c r="D21" s="55"/>
      <c r="E21" s="58">
        <f>'G9BDU Input'!D19*'G9BDU Input'!$D$7*'G9BDU Input'!$H$7</f>
        <v>0</v>
      </c>
      <c r="F21" s="57"/>
      <c r="G21" s="59">
        <f t="shared" si="2"/>
        <v>134796</v>
      </c>
      <c r="H21" s="57"/>
      <c r="I21" s="59">
        <f t="shared" si="0"/>
        <v>134796</v>
      </c>
      <c r="J21" s="57"/>
    </row>
    <row r="22" spans="1:10">
      <c r="A22" s="48">
        <f t="shared" si="1"/>
        <v>8</v>
      </c>
      <c r="C22" s="55">
        <f>'G9BDU Input'!B20</f>
        <v>44391</v>
      </c>
      <c r="D22" s="55"/>
      <c r="E22" s="58">
        <f>'G9BDU Input'!D20*'G9BDU Input'!$D$7*'G9BDU Input'!$H$7</f>
        <v>0</v>
      </c>
      <c r="F22" s="57"/>
      <c r="G22" s="59">
        <f t="shared" si="2"/>
        <v>134796</v>
      </c>
      <c r="H22" s="57"/>
      <c r="I22" s="59">
        <f t="shared" si="0"/>
        <v>134796</v>
      </c>
      <c r="J22" s="57"/>
    </row>
    <row r="23" spans="1:10">
      <c r="A23" s="48">
        <f t="shared" si="1"/>
        <v>9</v>
      </c>
      <c r="C23" s="55">
        <f>'G9BDU Input'!B21</f>
        <v>44421</v>
      </c>
      <c r="D23" s="55"/>
      <c r="E23" s="58">
        <f>'G9BDU Input'!D21*'G9BDU Input'!$D$7*'G9BDU Input'!$H$7</f>
        <v>0</v>
      </c>
      <c r="F23" s="57"/>
      <c r="G23" s="59">
        <f t="shared" si="2"/>
        <v>134796</v>
      </c>
      <c r="H23" s="57"/>
      <c r="I23" s="59">
        <f t="shared" si="0"/>
        <v>134796</v>
      </c>
      <c r="J23" s="57"/>
    </row>
    <row r="24" spans="1:10">
      <c r="A24" s="48">
        <f t="shared" si="1"/>
        <v>10</v>
      </c>
      <c r="C24" s="55">
        <f>'G9BDU Input'!B22</f>
        <v>44451</v>
      </c>
      <c r="D24" s="55"/>
      <c r="E24" s="58">
        <f>'G9BDU Input'!D22*'G9BDU Input'!$D$7*'G9BDU Input'!$H$7</f>
        <v>0</v>
      </c>
      <c r="F24" s="57"/>
      <c r="G24" s="59">
        <f t="shared" si="2"/>
        <v>134796</v>
      </c>
      <c r="H24" s="57"/>
      <c r="I24" s="59">
        <f t="shared" si="0"/>
        <v>134796</v>
      </c>
      <c r="J24" s="57"/>
    </row>
    <row r="25" spans="1:10">
      <c r="A25" s="48">
        <f t="shared" si="1"/>
        <v>11</v>
      </c>
      <c r="C25" s="55">
        <f>'G9BDU Input'!B23</f>
        <v>44481</v>
      </c>
      <c r="D25" s="55"/>
      <c r="E25" s="58">
        <f>'G9BDU Input'!D23*'G9BDU Input'!$D$7*'G9BDU Input'!$H$7</f>
        <v>0</v>
      </c>
      <c r="F25" s="57"/>
      <c r="G25" s="59">
        <f t="shared" si="2"/>
        <v>134796</v>
      </c>
      <c r="H25" s="57"/>
      <c r="I25" s="59">
        <f t="shared" si="0"/>
        <v>134796</v>
      </c>
      <c r="J25" s="57"/>
    </row>
    <row r="26" spans="1:10">
      <c r="A26" s="48">
        <f t="shared" si="1"/>
        <v>12</v>
      </c>
      <c r="C26" s="55">
        <f>'G9BDU Input'!B24</f>
        <v>44511</v>
      </c>
      <c r="D26" s="55"/>
      <c r="E26" s="58">
        <f>'G9BDU Input'!D24*'G9BDU Input'!$D$7*'G9BDU Input'!$H$7</f>
        <v>0</v>
      </c>
      <c r="F26" s="57"/>
      <c r="G26" s="59">
        <f t="shared" si="2"/>
        <v>134796</v>
      </c>
      <c r="H26" s="57"/>
      <c r="I26" s="59">
        <f t="shared" si="0"/>
        <v>134796</v>
      </c>
      <c r="J26" s="57"/>
    </row>
    <row r="27" spans="1:10">
      <c r="A27" s="48">
        <f t="shared" si="1"/>
        <v>13</v>
      </c>
      <c r="C27" s="55">
        <f>'G9BDU Input'!B25</f>
        <v>44541</v>
      </c>
      <c r="D27" s="55"/>
      <c r="E27" s="60">
        <f>'G9BDU Input'!D25*'G9BDU Input'!$D$7*'G9BDU Input'!$H$7</f>
        <v>0</v>
      </c>
      <c r="F27" s="57"/>
      <c r="G27" s="61">
        <f t="shared" si="2"/>
        <v>134796</v>
      </c>
      <c r="H27" s="57"/>
      <c r="I27" s="61">
        <f t="shared" si="0"/>
        <v>134796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1617552</v>
      </c>
      <c r="H28" s="64"/>
      <c r="I28" s="63">
        <f>SUM(I16:I27)</f>
        <v>1617552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134796</v>
      </c>
      <c r="H30" s="64"/>
      <c r="I30" s="66">
        <f>ROUND(+I28/12,2)</f>
        <v>134796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134796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'G9BDU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'G9BDU Input'!F6</f>
        <v>SFS 85th St to I29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'G9BDU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"&amp;'G9BDU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'G9BDU TotalWO'!C15</f>
        <v>44180</v>
      </c>
      <c r="D15" s="55"/>
      <c r="E15" s="56">
        <f>'G9BDU TotalWO'!E15*'G9BDU Input'!$H$13</f>
        <v>0</v>
      </c>
      <c r="F15" s="68"/>
      <c r="G15" s="56">
        <f>'G9BDU TotalWO'!G15*'G9BDU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'G9BDU TotalWO'!C16</f>
        <v>44211</v>
      </c>
      <c r="D16" s="55"/>
      <c r="E16" s="58">
        <f>'G9BDU TotalWO'!E16*'G9BDU Input'!$H$13</f>
        <v>0</v>
      </c>
      <c r="F16" s="68"/>
      <c r="G16" s="58">
        <f>'G9BDU TotalWO'!G16*'G9BDU Input'!$H$13</f>
        <v>134796</v>
      </c>
      <c r="H16" s="59"/>
      <c r="I16" s="58">
        <f t="shared" si="0"/>
        <v>134796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'G9BDU TotalWO'!E17*'G9BDU Input'!$H$13</f>
        <v>0</v>
      </c>
      <c r="F17" s="68"/>
      <c r="G17" s="68">
        <f>'G9BDU TotalWO'!G17*'G9BDU Input'!$H$13</f>
        <v>134796</v>
      </c>
      <c r="H17" s="59"/>
      <c r="I17" s="59">
        <f t="shared" si="0"/>
        <v>134796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'G9BDU TotalWO'!E18*'G9BDU Input'!$H$13</f>
        <v>0</v>
      </c>
      <c r="F18" s="68"/>
      <c r="G18" s="68">
        <f>'G9BDU TotalWO'!G18*'G9BDU Input'!$H$13</f>
        <v>134796</v>
      </c>
      <c r="H18" s="59"/>
      <c r="I18" s="59">
        <f t="shared" si="0"/>
        <v>134796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'G9BDU TotalWO'!E19*'G9BDU Input'!$H$13</f>
        <v>0</v>
      </c>
      <c r="F19" s="68"/>
      <c r="G19" s="68">
        <f>'G9BDU TotalWO'!G19*'G9BDU Input'!$H$13</f>
        <v>134796</v>
      </c>
      <c r="H19" s="59"/>
      <c r="I19" s="59">
        <f t="shared" si="0"/>
        <v>134796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'G9BDU TotalWO'!E20*'G9BDU Input'!$H$13</f>
        <v>0</v>
      </c>
      <c r="F20" s="68"/>
      <c r="G20" s="68">
        <f>'G9BDU TotalWO'!G20*'G9BDU Input'!$H$13</f>
        <v>134796</v>
      </c>
      <c r="H20" s="59"/>
      <c r="I20" s="59">
        <f t="shared" si="0"/>
        <v>134796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'G9BDU TotalWO'!E21*'G9BDU Input'!$H$13</f>
        <v>0</v>
      </c>
      <c r="F21" s="68"/>
      <c r="G21" s="68">
        <f>'G9BDU TotalWO'!G21*'G9BDU Input'!$H$13</f>
        <v>134796</v>
      </c>
      <c r="H21" s="59"/>
      <c r="I21" s="59">
        <f t="shared" si="0"/>
        <v>134796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'G9BDU TotalWO'!E22*'G9BDU Input'!$H$13</f>
        <v>0</v>
      </c>
      <c r="F22" s="68"/>
      <c r="G22" s="68">
        <f>'G9BDU TotalWO'!G22*'G9BDU Input'!$H$13</f>
        <v>134796</v>
      </c>
      <c r="H22" s="59"/>
      <c r="I22" s="59">
        <f t="shared" si="0"/>
        <v>134796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'G9BDU TotalWO'!E23*'G9BDU Input'!$H$13</f>
        <v>0</v>
      </c>
      <c r="F23" s="68"/>
      <c r="G23" s="68">
        <f>'G9BDU TotalWO'!G23*'G9BDU Input'!$H$13</f>
        <v>134796</v>
      </c>
      <c r="H23" s="59"/>
      <c r="I23" s="59">
        <f t="shared" si="0"/>
        <v>134796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'G9BDU TotalWO'!E24*'G9BDU Input'!$H$13</f>
        <v>0</v>
      </c>
      <c r="F24" s="68"/>
      <c r="G24" s="68">
        <f>'G9BDU TotalWO'!G24*'G9BDU Input'!$H$13</f>
        <v>134796</v>
      </c>
      <c r="H24" s="59"/>
      <c r="I24" s="59">
        <f t="shared" si="0"/>
        <v>134796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'G9BDU TotalWO'!E25*'G9BDU Input'!$H$13</f>
        <v>0</v>
      </c>
      <c r="F25" s="68"/>
      <c r="G25" s="68">
        <f>'G9BDU TotalWO'!G25*'G9BDU Input'!$H$13</f>
        <v>134796</v>
      </c>
      <c r="H25" s="59"/>
      <c r="I25" s="59">
        <f t="shared" si="0"/>
        <v>134796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'G9BDU TotalWO'!E26*'G9BDU Input'!$H$13</f>
        <v>0</v>
      </c>
      <c r="F26" s="68"/>
      <c r="G26" s="68">
        <f>'G9BDU TotalWO'!G26*'G9BDU Input'!$H$13</f>
        <v>134796</v>
      </c>
      <c r="H26" s="59"/>
      <c r="I26" s="59">
        <f t="shared" si="0"/>
        <v>134796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'G9BDU TotalWO'!E27*'G9BDU Input'!$H$13</f>
        <v>0</v>
      </c>
      <c r="F27" s="68"/>
      <c r="G27" s="71">
        <f>'G9BDU TotalWO'!G27*'G9BDU Input'!$H$13</f>
        <v>134796</v>
      </c>
      <c r="H27" s="59"/>
      <c r="I27" s="61">
        <f t="shared" si="0"/>
        <v>134796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1617552</v>
      </c>
      <c r="H28" s="64"/>
      <c r="I28" s="63">
        <f>SUM(I16:I27)</f>
        <v>1617552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134796</v>
      </c>
      <c r="H30" s="64"/>
      <c r="I30" s="66">
        <f>ROUND(+I28/12,2)</f>
        <v>134796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134796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316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2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 85th St to I29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247.79</v>
      </c>
      <c r="H53" s="64"/>
      <c r="I53" s="63">
        <f t="shared" ref="I53:I64" si="4">G53-E53</f>
        <v>247.79</v>
      </c>
      <c r="K53" s="58"/>
      <c r="M53" s="17">
        <f>+ROUND(M67/12,2)</f>
        <v>36.42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247.79</v>
      </c>
      <c r="H54" s="57"/>
      <c r="I54" s="59">
        <f t="shared" si="4"/>
        <v>247.79</v>
      </c>
      <c r="M54" s="85">
        <f>+M53</f>
        <v>36.42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247.79</v>
      </c>
      <c r="H55" s="57"/>
      <c r="I55" s="59">
        <f t="shared" si="4"/>
        <v>247.79</v>
      </c>
      <c r="M55" s="85">
        <f t="shared" ref="M55:M64" si="8">+M54</f>
        <v>36.42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247.79</v>
      </c>
      <c r="H56" s="57"/>
      <c r="I56" s="59">
        <f t="shared" si="4"/>
        <v>247.79</v>
      </c>
      <c r="M56" s="85">
        <f t="shared" si="8"/>
        <v>36.42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247.79</v>
      </c>
      <c r="H57" s="57"/>
      <c r="I57" s="59">
        <f t="shared" si="4"/>
        <v>247.79</v>
      </c>
      <c r="M57" s="85">
        <f t="shared" si="8"/>
        <v>36.42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247.79</v>
      </c>
      <c r="H58" s="57"/>
      <c r="I58" s="59">
        <f t="shared" si="4"/>
        <v>247.79</v>
      </c>
      <c r="M58" s="85">
        <f t="shared" si="8"/>
        <v>36.42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247.79</v>
      </c>
      <c r="H59" s="57"/>
      <c r="I59" s="59">
        <f t="shared" si="4"/>
        <v>247.79</v>
      </c>
      <c r="M59" s="85">
        <f t="shared" si="8"/>
        <v>36.42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247.79</v>
      </c>
      <c r="H60" s="57"/>
      <c r="I60" s="59">
        <f t="shared" si="4"/>
        <v>247.79</v>
      </c>
      <c r="M60" s="85">
        <f>+M59-0.01</f>
        <v>36.410000000000004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247.79</v>
      </c>
      <c r="H61" s="57"/>
      <c r="I61" s="59">
        <f t="shared" si="4"/>
        <v>247.79</v>
      </c>
      <c r="M61" s="85">
        <f t="shared" si="8"/>
        <v>36.410000000000004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247.79</v>
      </c>
      <c r="H62" s="57"/>
      <c r="I62" s="59">
        <f t="shared" si="4"/>
        <v>247.79</v>
      </c>
      <c r="M62" s="85">
        <f t="shared" si="8"/>
        <v>36.410000000000004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247.79</v>
      </c>
      <c r="H63" s="57"/>
      <c r="I63" s="59">
        <f t="shared" si="4"/>
        <v>247.79</v>
      </c>
      <c r="M63" s="85">
        <f t="shared" si="8"/>
        <v>36.410000000000004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247.79</v>
      </c>
      <c r="H64" s="57"/>
      <c r="I64" s="61">
        <f t="shared" si="4"/>
        <v>247.79</v>
      </c>
      <c r="M64" s="61">
        <f t="shared" si="8"/>
        <v>36.410000000000004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2973.48</v>
      </c>
      <c r="H65" s="64"/>
      <c r="I65" s="63">
        <f>SUM(I53:I64)</f>
        <v>2973.48</v>
      </c>
      <c r="M65" s="63">
        <f>SUM(M53:M64)</f>
        <v>436.99000000000018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2973.48</v>
      </c>
      <c r="K67" s="66">
        <f>ROUND(G16*K73,2)</f>
        <v>5054.8500000000004</v>
      </c>
      <c r="M67" s="66">
        <f>ROUND(+(K67-I67)*M73,2)</f>
        <v>437.09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317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'G9BDU Input'!J13</f>
        <v>2.2058823529411766E-2</v>
      </c>
      <c r="F73" s="76"/>
      <c r="G73" s="76">
        <f>E73/12</f>
        <v>1.8382352941176473E-3</v>
      </c>
      <c r="K73" s="86">
        <f>+'G9BDU Input'!L13</f>
        <v>3.7499999999999999E-2</v>
      </c>
      <c r="M73" s="87">
        <f>+'G9BDU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1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 85th St to I29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247.79</v>
      </c>
      <c r="H93" s="57"/>
      <c r="I93" s="58">
        <f t="shared" si="9"/>
        <v>247.79</v>
      </c>
      <c r="M93" s="58">
        <f>+M53</f>
        <v>36.42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495.58</v>
      </c>
      <c r="H94" s="57"/>
      <c r="I94" s="59">
        <f t="shared" si="9"/>
        <v>495.58</v>
      </c>
      <c r="M94" s="59">
        <f>+M93+M54</f>
        <v>72.84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743.37</v>
      </c>
      <c r="H95" s="57"/>
      <c r="I95" s="59">
        <f t="shared" si="9"/>
        <v>743.37</v>
      </c>
      <c r="M95" s="59">
        <f t="shared" ref="M95:M104" si="14">+M94+M55</f>
        <v>109.26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991.16</v>
      </c>
      <c r="H96" s="57"/>
      <c r="I96" s="59">
        <f t="shared" si="9"/>
        <v>991.16</v>
      </c>
      <c r="M96" s="59">
        <f t="shared" si="14"/>
        <v>145.68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1238.95</v>
      </c>
      <c r="H97" s="57"/>
      <c r="I97" s="59">
        <f t="shared" si="9"/>
        <v>1238.95</v>
      </c>
      <c r="M97" s="59">
        <f t="shared" si="14"/>
        <v>182.10000000000002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1486.74</v>
      </c>
      <c r="H98" s="57"/>
      <c r="I98" s="59">
        <f t="shared" si="9"/>
        <v>1486.74</v>
      </c>
      <c r="M98" s="59">
        <f t="shared" si="14"/>
        <v>218.52000000000004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1734.53</v>
      </c>
      <c r="H99" s="57"/>
      <c r="I99" s="59">
        <f t="shared" si="9"/>
        <v>1734.53</v>
      </c>
      <c r="M99" s="59">
        <f t="shared" si="14"/>
        <v>254.94000000000005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1982.32</v>
      </c>
      <c r="H100" s="57"/>
      <c r="I100" s="59">
        <f t="shared" si="9"/>
        <v>1982.32</v>
      </c>
      <c r="M100" s="59">
        <f t="shared" si="14"/>
        <v>291.35000000000008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2230.11</v>
      </c>
      <c r="H101" s="57"/>
      <c r="I101" s="59">
        <f t="shared" si="9"/>
        <v>2230.11</v>
      </c>
      <c r="M101" s="59">
        <f t="shared" si="14"/>
        <v>327.7600000000001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2477.9</v>
      </c>
      <c r="H102" s="57"/>
      <c r="I102" s="59">
        <f t="shared" si="9"/>
        <v>2477.9</v>
      </c>
      <c r="M102" s="59">
        <f t="shared" si="14"/>
        <v>364.17000000000013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2725.69</v>
      </c>
      <c r="H103" s="57"/>
      <c r="I103" s="59">
        <f t="shared" si="9"/>
        <v>2725.69</v>
      </c>
      <c r="M103" s="59">
        <f t="shared" si="14"/>
        <v>400.58000000000015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2973.48</v>
      </c>
      <c r="H104" s="57"/>
      <c r="I104" s="61">
        <f t="shared" si="9"/>
        <v>2973.48</v>
      </c>
      <c r="M104" s="61">
        <f t="shared" si="14"/>
        <v>436.99000000000018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19327.620000000003</v>
      </c>
      <c r="H105" s="64"/>
      <c r="I105" s="63">
        <f>SUM(I93:I104)</f>
        <v>19327.620000000003</v>
      </c>
      <c r="M105" s="63">
        <f>SUM(M93:M104)</f>
        <v>2840.610000000001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1610.64</v>
      </c>
      <c r="H107" s="64"/>
      <c r="I107" s="66">
        <f>ROUND(+I105/12,2)</f>
        <v>1610.64</v>
      </c>
      <c r="M107" s="66">
        <f>ROUND(+M105/12,2)</f>
        <v>236.72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1610.64</v>
      </c>
      <c r="M110" s="78">
        <f>+M107</f>
        <v>236.72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318</v>
      </c>
      <c r="M112" s="62" t="s">
        <v>319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142</v>
      </c>
      <c r="E6" s="34"/>
      <c r="F6" s="127" t="s">
        <v>143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44835</v>
      </c>
    </row>
    <row r="28" spans="1:10">
      <c r="A28" s="36">
        <v>16</v>
      </c>
      <c r="B28" s="34" t="s">
        <v>97</v>
      </c>
      <c r="D28" s="108">
        <v>2419422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144</v>
      </c>
    </row>
    <row r="33" spans="2:2">
      <c r="B33" s="44" t="s">
        <v>145</v>
      </c>
    </row>
    <row r="34" spans="2:2">
      <c r="B34" s="44" t="s">
        <v>146</v>
      </c>
    </row>
    <row r="35" spans="2:2">
      <c r="B35" s="44" t="s">
        <v>147</v>
      </c>
    </row>
    <row r="36" spans="2:2">
      <c r="B36" s="44" t="s">
        <v>148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6.25" customHeight="1">
      <c r="A3" s="121" t="str">
        <f>'G9BDU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'G9BDU Input'!F6</f>
        <v>SFS 85th St to I29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SFS 85th St to I29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1:L1"/>
    <mergeCell ref="A2:L2"/>
    <mergeCell ref="A3:L3"/>
    <mergeCell ref="A4:L4"/>
    <mergeCell ref="A5:L5"/>
    <mergeCell ref="A74:L74"/>
    <mergeCell ref="A75:L75"/>
    <mergeCell ref="A6:L6"/>
    <mergeCell ref="A70:L70"/>
    <mergeCell ref="A71:L71"/>
    <mergeCell ref="A72:L72"/>
    <mergeCell ref="A73:L73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4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320</v>
      </c>
      <c r="E6" s="34"/>
      <c r="F6" s="124" t="s">
        <v>321</v>
      </c>
      <c r="G6" s="124"/>
      <c r="H6" s="124"/>
      <c r="I6" s="124"/>
      <c r="J6" s="124"/>
      <c r="K6" s="124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45169</v>
      </c>
    </row>
    <row r="28" spans="1:10">
      <c r="A28" s="36">
        <v>16</v>
      </c>
      <c r="B28" s="34" t="s">
        <v>97</v>
      </c>
      <c r="D28" s="108">
        <v>1093951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322</v>
      </c>
    </row>
    <row r="33" spans="2:2">
      <c r="B33" s="44" t="s">
        <v>323</v>
      </c>
    </row>
    <row r="34" spans="2:2">
      <c r="B34" s="44" t="s">
        <v>324</v>
      </c>
    </row>
    <row r="35" spans="2:2">
      <c r="B35" s="44" t="s">
        <v>325</v>
      </c>
    </row>
    <row r="36" spans="2:2">
      <c r="B36" s="44" t="s">
        <v>326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K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1.75" customHeight="1">
      <c r="A3" s="49" t="str">
        <f>'G99L3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'G99L3 Input'!F6</f>
        <v>SFS East Side 210PSIG Expansion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'G99L3 Input'!B13</f>
        <v>44180</v>
      </c>
      <c r="D15" s="55"/>
      <c r="E15" s="56">
        <f>'G99L3 Input'!D13*'G99L3 Input'!$D$7*'G99L3 Input'!$H$7</f>
        <v>0</v>
      </c>
      <c r="F15" s="57"/>
      <c r="G15" s="56">
        <f>'G99L3 Input'!D27*'G99L3 Input'!D6*'G99L3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'G99L3 Input'!B14</f>
        <v>44211</v>
      </c>
      <c r="D16" s="55"/>
      <c r="E16" s="58">
        <f>'G99L3 Input'!D14*'G99L3 Input'!$D$7*'G99L3 Input'!$H$7</f>
        <v>0</v>
      </c>
      <c r="F16" s="57"/>
      <c r="G16" s="58">
        <f>'G99L3 Input'!D28*'G99L3 Input'!D7*'G99L3 Input'!H7</f>
        <v>1093951</v>
      </c>
      <c r="H16" s="57"/>
      <c r="I16" s="58">
        <f t="shared" si="0"/>
        <v>1093951</v>
      </c>
    </row>
    <row r="17" spans="1:10">
      <c r="A17" s="48">
        <f t="shared" si="1"/>
        <v>3</v>
      </c>
      <c r="C17" s="55">
        <f>'G99L3 Input'!B15</f>
        <v>44241</v>
      </c>
      <c r="D17" s="55"/>
      <c r="E17" s="58">
        <f>'G99L3 Input'!D15*'G99L3 Input'!$D$7*'G99L3 Input'!$H$7</f>
        <v>0</v>
      </c>
      <c r="F17" s="57"/>
      <c r="G17" s="59">
        <f t="shared" ref="G17:G27" si="2">$G$16</f>
        <v>1093951</v>
      </c>
      <c r="H17" s="57"/>
      <c r="I17" s="59">
        <f t="shared" si="0"/>
        <v>1093951</v>
      </c>
      <c r="J17" s="57"/>
    </row>
    <row r="18" spans="1:10">
      <c r="A18" s="48">
        <f t="shared" si="1"/>
        <v>4</v>
      </c>
      <c r="C18" s="55">
        <f>'G99L3 Input'!B16</f>
        <v>44271</v>
      </c>
      <c r="D18" s="55"/>
      <c r="E18" s="58">
        <f>'G99L3 Input'!D16*'G99L3 Input'!$D$7*'G99L3 Input'!$H$7</f>
        <v>0</v>
      </c>
      <c r="F18" s="57"/>
      <c r="G18" s="59">
        <f t="shared" si="2"/>
        <v>1093951</v>
      </c>
      <c r="H18" s="57"/>
      <c r="I18" s="59">
        <f t="shared" si="0"/>
        <v>1093951</v>
      </c>
      <c r="J18" s="57"/>
    </row>
    <row r="19" spans="1:10">
      <c r="A19" s="48">
        <f t="shared" si="1"/>
        <v>5</v>
      </c>
      <c r="C19" s="55">
        <f>'G99L3 Input'!B17</f>
        <v>44301</v>
      </c>
      <c r="D19" s="55"/>
      <c r="E19" s="58">
        <f>'G99L3 Input'!D17*'G99L3 Input'!$D$7*'G99L3 Input'!$H$7</f>
        <v>0</v>
      </c>
      <c r="F19" s="57"/>
      <c r="G19" s="59">
        <f t="shared" si="2"/>
        <v>1093951</v>
      </c>
      <c r="H19" s="57"/>
      <c r="I19" s="59">
        <f t="shared" si="0"/>
        <v>1093951</v>
      </c>
      <c r="J19" s="57"/>
    </row>
    <row r="20" spans="1:10">
      <c r="A20" s="48">
        <f t="shared" si="1"/>
        <v>6</v>
      </c>
      <c r="C20" s="55">
        <f>'G99L3 Input'!B18</f>
        <v>44331</v>
      </c>
      <c r="D20" s="55"/>
      <c r="E20" s="58">
        <f>'G99L3 Input'!D18*'G99L3 Input'!$D$7*'G99L3 Input'!$H$7</f>
        <v>0</v>
      </c>
      <c r="F20" s="57"/>
      <c r="G20" s="59">
        <f t="shared" si="2"/>
        <v>1093951</v>
      </c>
      <c r="H20" s="57"/>
      <c r="I20" s="59">
        <f t="shared" si="0"/>
        <v>1093951</v>
      </c>
      <c r="J20" s="57"/>
    </row>
    <row r="21" spans="1:10">
      <c r="A21" s="48">
        <f t="shared" si="1"/>
        <v>7</v>
      </c>
      <c r="C21" s="55">
        <f>'G99L3 Input'!B19</f>
        <v>44361</v>
      </c>
      <c r="D21" s="55"/>
      <c r="E21" s="58">
        <f>'G99L3 Input'!D19*'G99L3 Input'!$D$7*'G99L3 Input'!$H$7</f>
        <v>0</v>
      </c>
      <c r="F21" s="57"/>
      <c r="G21" s="59">
        <f t="shared" si="2"/>
        <v>1093951</v>
      </c>
      <c r="H21" s="57"/>
      <c r="I21" s="59">
        <f t="shared" si="0"/>
        <v>1093951</v>
      </c>
      <c r="J21" s="57"/>
    </row>
    <row r="22" spans="1:10">
      <c r="A22" s="48">
        <f t="shared" si="1"/>
        <v>8</v>
      </c>
      <c r="C22" s="55">
        <f>'G99L3 Input'!B20</f>
        <v>44391</v>
      </c>
      <c r="D22" s="55"/>
      <c r="E22" s="58">
        <f>'G99L3 Input'!D20*'G99L3 Input'!$D$7*'G99L3 Input'!$H$7</f>
        <v>0</v>
      </c>
      <c r="F22" s="57"/>
      <c r="G22" s="59">
        <f t="shared" si="2"/>
        <v>1093951</v>
      </c>
      <c r="H22" s="57"/>
      <c r="I22" s="59">
        <f t="shared" si="0"/>
        <v>1093951</v>
      </c>
      <c r="J22" s="57"/>
    </row>
    <row r="23" spans="1:10">
      <c r="A23" s="48">
        <f t="shared" si="1"/>
        <v>9</v>
      </c>
      <c r="C23" s="55">
        <f>'G99L3 Input'!B21</f>
        <v>44421</v>
      </c>
      <c r="D23" s="55"/>
      <c r="E23" s="58">
        <f>'G99L3 Input'!D21*'G99L3 Input'!$D$7*'G99L3 Input'!$H$7</f>
        <v>0</v>
      </c>
      <c r="F23" s="57"/>
      <c r="G23" s="59">
        <f t="shared" si="2"/>
        <v>1093951</v>
      </c>
      <c r="H23" s="57"/>
      <c r="I23" s="59">
        <f t="shared" si="0"/>
        <v>1093951</v>
      </c>
      <c r="J23" s="57"/>
    </row>
    <row r="24" spans="1:10">
      <c r="A24" s="48">
        <f t="shared" si="1"/>
        <v>10</v>
      </c>
      <c r="C24" s="55">
        <f>'G99L3 Input'!B22</f>
        <v>44451</v>
      </c>
      <c r="D24" s="55"/>
      <c r="E24" s="58">
        <f>'G99L3 Input'!D22*'G99L3 Input'!$D$7*'G99L3 Input'!$H$7</f>
        <v>0</v>
      </c>
      <c r="F24" s="57"/>
      <c r="G24" s="59">
        <f t="shared" si="2"/>
        <v>1093951</v>
      </c>
      <c r="H24" s="57"/>
      <c r="I24" s="59">
        <f t="shared" si="0"/>
        <v>1093951</v>
      </c>
      <c r="J24" s="57"/>
    </row>
    <row r="25" spans="1:10">
      <c r="A25" s="48">
        <f t="shared" si="1"/>
        <v>11</v>
      </c>
      <c r="C25" s="55">
        <f>'G99L3 Input'!B23</f>
        <v>44481</v>
      </c>
      <c r="D25" s="55"/>
      <c r="E25" s="58">
        <f>'G99L3 Input'!D23*'G99L3 Input'!$D$7*'G99L3 Input'!$H$7</f>
        <v>0</v>
      </c>
      <c r="F25" s="57"/>
      <c r="G25" s="59">
        <f t="shared" si="2"/>
        <v>1093951</v>
      </c>
      <c r="H25" s="57"/>
      <c r="I25" s="59">
        <f t="shared" si="0"/>
        <v>1093951</v>
      </c>
      <c r="J25" s="57"/>
    </row>
    <row r="26" spans="1:10">
      <c r="A26" s="48">
        <f t="shared" si="1"/>
        <v>12</v>
      </c>
      <c r="C26" s="55">
        <f>'G99L3 Input'!B24</f>
        <v>44511</v>
      </c>
      <c r="D26" s="55"/>
      <c r="E26" s="58">
        <f>'G99L3 Input'!D24*'G99L3 Input'!$D$7*'G99L3 Input'!$H$7</f>
        <v>0</v>
      </c>
      <c r="F26" s="57"/>
      <c r="G26" s="59">
        <f t="shared" si="2"/>
        <v>1093951</v>
      </c>
      <c r="H26" s="57"/>
      <c r="I26" s="59">
        <f t="shared" si="0"/>
        <v>1093951</v>
      </c>
      <c r="J26" s="57"/>
    </row>
    <row r="27" spans="1:10">
      <c r="A27" s="48">
        <f t="shared" si="1"/>
        <v>13</v>
      </c>
      <c r="C27" s="55">
        <f>'G99L3 Input'!B25</f>
        <v>44541</v>
      </c>
      <c r="D27" s="55"/>
      <c r="E27" s="60">
        <f>'G99L3 Input'!D25*'G99L3 Input'!$D$7*'G99L3 Input'!$H$7</f>
        <v>0</v>
      </c>
      <c r="F27" s="57"/>
      <c r="G27" s="61">
        <f t="shared" si="2"/>
        <v>1093951</v>
      </c>
      <c r="H27" s="57"/>
      <c r="I27" s="61">
        <f t="shared" si="0"/>
        <v>1093951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13127412</v>
      </c>
      <c r="H28" s="64"/>
      <c r="I28" s="63">
        <f>SUM(I16:I27)</f>
        <v>13127412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1093951</v>
      </c>
      <c r="H30" s="64"/>
      <c r="I30" s="66">
        <f>ROUND(+I28/12,2)</f>
        <v>1093951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1093951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'G99L3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'G99L3 Input'!F6</f>
        <v>SFS East Side 210PSIG Expansion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'G99L3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"&amp;'G99L3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'G99L3 TotalWO'!C15</f>
        <v>44180</v>
      </c>
      <c r="D15" s="55"/>
      <c r="E15" s="56">
        <f>'G99L3 TotalWO'!E15*'G99L3 Input'!$H$13</f>
        <v>0</v>
      </c>
      <c r="F15" s="68"/>
      <c r="G15" s="56">
        <f>'G99L3 TotalWO'!G15*'G99L3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'G99L3 TotalWO'!C16</f>
        <v>44211</v>
      </c>
      <c r="D16" s="55"/>
      <c r="E16" s="58">
        <f>'G99L3 TotalWO'!E16*'G99L3 Input'!$H$13</f>
        <v>0</v>
      </c>
      <c r="F16" s="68"/>
      <c r="G16" s="58">
        <f>'G99L3 TotalWO'!G16*'G99L3 Input'!$H$13</f>
        <v>1093951</v>
      </c>
      <c r="H16" s="59"/>
      <c r="I16" s="58">
        <f t="shared" si="0"/>
        <v>1093951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'G99L3 TotalWO'!E17*'G99L3 Input'!$H$13</f>
        <v>0</v>
      </c>
      <c r="F17" s="68"/>
      <c r="G17" s="68">
        <f>'G99L3 TotalWO'!G17*'G99L3 Input'!$H$13</f>
        <v>1093951</v>
      </c>
      <c r="H17" s="59"/>
      <c r="I17" s="59">
        <f t="shared" si="0"/>
        <v>1093951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'G99L3 TotalWO'!E18*'G99L3 Input'!$H$13</f>
        <v>0</v>
      </c>
      <c r="F18" s="68"/>
      <c r="G18" s="68">
        <f>'G99L3 TotalWO'!G18*'G99L3 Input'!$H$13</f>
        <v>1093951</v>
      </c>
      <c r="H18" s="59"/>
      <c r="I18" s="59">
        <f t="shared" si="0"/>
        <v>1093951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'G99L3 TotalWO'!E19*'G99L3 Input'!$H$13</f>
        <v>0</v>
      </c>
      <c r="F19" s="68"/>
      <c r="G19" s="68">
        <f>'G99L3 TotalWO'!G19*'G99L3 Input'!$H$13</f>
        <v>1093951</v>
      </c>
      <c r="H19" s="59"/>
      <c r="I19" s="59">
        <f t="shared" si="0"/>
        <v>1093951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'G99L3 TotalWO'!E20*'G99L3 Input'!$H$13</f>
        <v>0</v>
      </c>
      <c r="F20" s="68"/>
      <c r="G20" s="68">
        <f>'G99L3 TotalWO'!G20*'G99L3 Input'!$H$13</f>
        <v>1093951</v>
      </c>
      <c r="H20" s="59"/>
      <c r="I20" s="59">
        <f t="shared" si="0"/>
        <v>1093951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'G99L3 TotalWO'!E21*'G99L3 Input'!$H$13</f>
        <v>0</v>
      </c>
      <c r="F21" s="68"/>
      <c r="G21" s="68">
        <f>'G99L3 TotalWO'!G21*'G99L3 Input'!$H$13</f>
        <v>1093951</v>
      </c>
      <c r="H21" s="59"/>
      <c r="I21" s="59">
        <f t="shared" si="0"/>
        <v>1093951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'G99L3 TotalWO'!E22*'G99L3 Input'!$H$13</f>
        <v>0</v>
      </c>
      <c r="F22" s="68"/>
      <c r="G22" s="68">
        <f>'G99L3 TotalWO'!G22*'G99L3 Input'!$H$13</f>
        <v>1093951</v>
      </c>
      <c r="H22" s="59"/>
      <c r="I22" s="59">
        <f t="shared" si="0"/>
        <v>1093951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'G99L3 TotalWO'!E23*'G99L3 Input'!$H$13</f>
        <v>0</v>
      </c>
      <c r="F23" s="68"/>
      <c r="G23" s="68">
        <f>'G99L3 TotalWO'!G23*'G99L3 Input'!$H$13</f>
        <v>1093951</v>
      </c>
      <c r="H23" s="59"/>
      <c r="I23" s="59">
        <f t="shared" si="0"/>
        <v>1093951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'G99L3 TotalWO'!E24*'G99L3 Input'!$H$13</f>
        <v>0</v>
      </c>
      <c r="F24" s="68"/>
      <c r="G24" s="68">
        <f>'G99L3 TotalWO'!G24*'G99L3 Input'!$H$13</f>
        <v>1093951</v>
      </c>
      <c r="H24" s="59"/>
      <c r="I24" s="59">
        <f t="shared" si="0"/>
        <v>1093951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'G99L3 TotalWO'!E25*'G99L3 Input'!$H$13</f>
        <v>0</v>
      </c>
      <c r="F25" s="68"/>
      <c r="G25" s="68">
        <f>'G99L3 TotalWO'!G25*'G99L3 Input'!$H$13</f>
        <v>1093951</v>
      </c>
      <c r="H25" s="59"/>
      <c r="I25" s="59">
        <f t="shared" si="0"/>
        <v>1093951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'G99L3 TotalWO'!E26*'G99L3 Input'!$H$13</f>
        <v>0</v>
      </c>
      <c r="F26" s="68"/>
      <c r="G26" s="68">
        <f>'G99L3 TotalWO'!G26*'G99L3 Input'!$H$13</f>
        <v>1093951</v>
      </c>
      <c r="H26" s="59"/>
      <c r="I26" s="59">
        <f t="shared" si="0"/>
        <v>1093951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'G99L3 TotalWO'!E27*'G99L3 Input'!$H$13</f>
        <v>0</v>
      </c>
      <c r="F27" s="68"/>
      <c r="G27" s="71">
        <f>'G99L3 TotalWO'!G27*'G99L3 Input'!$H$13</f>
        <v>1093951</v>
      </c>
      <c r="H27" s="59"/>
      <c r="I27" s="61">
        <f t="shared" si="0"/>
        <v>1093951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13127412</v>
      </c>
      <c r="H28" s="64"/>
      <c r="I28" s="63">
        <f>SUM(I16:I27)</f>
        <v>13127412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1093951</v>
      </c>
      <c r="H30" s="64"/>
      <c r="I30" s="66">
        <f>ROUND(+I28/12,2)</f>
        <v>1093951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1093951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327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 East Side 210PSIG Expansion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2010.94</v>
      </c>
      <c r="H53" s="64"/>
      <c r="I53" s="63">
        <f t="shared" ref="I53:I64" si="4">G53-E53</f>
        <v>2010.94</v>
      </c>
      <c r="K53" s="58"/>
      <c r="M53" s="17">
        <f>+ROUND(M67/12,2)</f>
        <v>295.61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2010.94</v>
      </c>
      <c r="H54" s="57"/>
      <c r="I54" s="59">
        <f t="shared" si="4"/>
        <v>2010.94</v>
      </c>
      <c r="M54" s="85">
        <f>+M53</f>
        <v>295.61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2010.94</v>
      </c>
      <c r="H55" s="57"/>
      <c r="I55" s="59">
        <f t="shared" si="4"/>
        <v>2010.94</v>
      </c>
      <c r="M55" s="85">
        <f t="shared" ref="M55:M64" si="8">+M54</f>
        <v>295.61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2010.94</v>
      </c>
      <c r="H56" s="57"/>
      <c r="I56" s="59">
        <f t="shared" si="4"/>
        <v>2010.94</v>
      </c>
      <c r="M56" s="85">
        <f t="shared" si="8"/>
        <v>295.61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2010.94</v>
      </c>
      <c r="H57" s="57"/>
      <c r="I57" s="59">
        <f t="shared" si="4"/>
        <v>2010.94</v>
      </c>
      <c r="M57" s="85">
        <f t="shared" si="8"/>
        <v>295.61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2010.94</v>
      </c>
      <c r="H58" s="57"/>
      <c r="I58" s="59">
        <f t="shared" si="4"/>
        <v>2010.94</v>
      </c>
      <c r="M58" s="85">
        <f t="shared" si="8"/>
        <v>295.61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2010.94</v>
      </c>
      <c r="H59" s="57"/>
      <c r="I59" s="59">
        <f t="shared" si="4"/>
        <v>2010.94</v>
      </c>
      <c r="M59" s="85">
        <f t="shared" si="8"/>
        <v>295.61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2010.94</v>
      </c>
      <c r="H60" s="57"/>
      <c r="I60" s="59">
        <f t="shared" si="4"/>
        <v>2010.94</v>
      </c>
      <c r="M60" s="85">
        <f>+M59-0.01</f>
        <v>295.60000000000002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2010.94</v>
      </c>
      <c r="H61" s="57"/>
      <c r="I61" s="59">
        <f t="shared" si="4"/>
        <v>2010.94</v>
      </c>
      <c r="M61" s="85">
        <f t="shared" si="8"/>
        <v>295.60000000000002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2010.94</v>
      </c>
      <c r="H62" s="57"/>
      <c r="I62" s="59">
        <f t="shared" si="4"/>
        <v>2010.94</v>
      </c>
      <c r="M62" s="85">
        <f t="shared" si="8"/>
        <v>295.60000000000002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2010.94</v>
      </c>
      <c r="H63" s="57"/>
      <c r="I63" s="59">
        <f t="shared" si="4"/>
        <v>2010.94</v>
      </c>
      <c r="M63" s="85">
        <f t="shared" si="8"/>
        <v>295.60000000000002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2010.94</v>
      </c>
      <c r="H64" s="57"/>
      <c r="I64" s="61">
        <f t="shared" si="4"/>
        <v>2010.94</v>
      </c>
      <c r="M64" s="61">
        <f t="shared" si="8"/>
        <v>295.60000000000002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24131.279999999999</v>
      </c>
      <c r="H65" s="64"/>
      <c r="I65" s="63">
        <f>SUM(I53:I64)</f>
        <v>24131.279999999999</v>
      </c>
      <c r="M65" s="63">
        <f>SUM(M53:M64)</f>
        <v>3547.27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24131.279999999999</v>
      </c>
      <c r="K67" s="66">
        <f>ROUND(G16*K73,2)</f>
        <v>41023.160000000003</v>
      </c>
      <c r="M67" s="66">
        <f>ROUND(+(K67-I67)*M73,2)</f>
        <v>3547.29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328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'G99L3 Input'!J13</f>
        <v>2.2058823529411766E-2</v>
      </c>
      <c r="F73" s="76"/>
      <c r="G73" s="76">
        <f>E73/12</f>
        <v>1.8382352941176473E-3</v>
      </c>
      <c r="K73" s="86">
        <f>+'G99L3 Input'!L13</f>
        <v>3.7499999999999999E-2</v>
      </c>
      <c r="M73" s="87">
        <f>+'G99L3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4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 East Side 210PSIG Expansion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2010.94</v>
      </c>
      <c r="H93" s="57"/>
      <c r="I93" s="58">
        <f t="shared" si="9"/>
        <v>2010.94</v>
      </c>
      <c r="M93" s="58">
        <f>+M53</f>
        <v>295.61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4021.88</v>
      </c>
      <c r="H94" s="57"/>
      <c r="I94" s="59">
        <f t="shared" si="9"/>
        <v>4021.88</v>
      </c>
      <c r="M94" s="59">
        <f>+M93+M54</f>
        <v>591.22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6032.82</v>
      </c>
      <c r="H95" s="57"/>
      <c r="I95" s="59">
        <f t="shared" si="9"/>
        <v>6032.82</v>
      </c>
      <c r="M95" s="59">
        <f t="shared" ref="M95:M104" si="14">+M94+M55</f>
        <v>886.83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8043.76</v>
      </c>
      <c r="H96" s="57"/>
      <c r="I96" s="59">
        <f t="shared" si="9"/>
        <v>8043.76</v>
      </c>
      <c r="M96" s="59">
        <f t="shared" si="14"/>
        <v>1182.44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10054.700000000001</v>
      </c>
      <c r="H97" s="57"/>
      <c r="I97" s="59">
        <f t="shared" si="9"/>
        <v>10054.700000000001</v>
      </c>
      <c r="M97" s="59">
        <f t="shared" si="14"/>
        <v>1478.0500000000002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12065.640000000001</v>
      </c>
      <c r="H98" s="57"/>
      <c r="I98" s="59">
        <f t="shared" si="9"/>
        <v>12065.640000000001</v>
      </c>
      <c r="M98" s="59">
        <f t="shared" si="14"/>
        <v>1773.6600000000003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14076.580000000002</v>
      </c>
      <c r="H99" s="57"/>
      <c r="I99" s="59">
        <f t="shared" si="9"/>
        <v>14076.580000000002</v>
      </c>
      <c r="M99" s="59">
        <f t="shared" si="14"/>
        <v>2069.2700000000004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16087.520000000002</v>
      </c>
      <c r="H100" s="57"/>
      <c r="I100" s="59">
        <f t="shared" si="9"/>
        <v>16087.520000000002</v>
      </c>
      <c r="M100" s="59">
        <f t="shared" si="14"/>
        <v>2364.8700000000003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18098.460000000003</v>
      </c>
      <c r="H101" s="57"/>
      <c r="I101" s="59">
        <f t="shared" si="9"/>
        <v>18098.460000000003</v>
      </c>
      <c r="M101" s="59">
        <f t="shared" si="14"/>
        <v>2660.4700000000003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20109.400000000001</v>
      </c>
      <c r="H102" s="57"/>
      <c r="I102" s="59">
        <f t="shared" si="9"/>
        <v>20109.400000000001</v>
      </c>
      <c r="M102" s="59">
        <f t="shared" si="14"/>
        <v>2956.07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22120.34</v>
      </c>
      <c r="H103" s="57"/>
      <c r="I103" s="59">
        <f t="shared" si="9"/>
        <v>22120.34</v>
      </c>
      <c r="M103" s="59">
        <f t="shared" si="14"/>
        <v>3251.67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24131.279999999999</v>
      </c>
      <c r="H104" s="57"/>
      <c r="I104" s="61">
        <f t="shared" si="9"/>
        <v>24131.279999999999</v>
      </c>
      <c r="M104" s="61">
        <f t="shared" si="14"/>
        <v>3547.27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156853.32</v>
      </c>
      <c r="H105" s="64"/>
      <c r="I105" s="63">
        <f>SUM(I93:I104)</f>
        <v>156853.32</v>
      </c>
      <c r="M105" s="63">
        <f>SUM(M93:M104)</f>
        <v>23057.430000000004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13071.11</v>
      </c>
      <c r="H107" s="64"/>
      <c r="I107" s="66">
        <f>ROUND(+I105/12,2)</f>
        <v>13071.11</v>
      </c>
      <c r="M107" s="66">
        <f>ROUND(+M105/12,2)</f>
        <v>1921.45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13071.11</v>
      </c>
      <c r="M110" s="78">
        <f>+M107</f>
        <v>1921.45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329</v>
      </c>
      <c r="M112" s="62" t="s">
        <v>330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'G99L3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'G99L3 Input'!F6</f>
        <v>SFS East Side 210PSIG Expansion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SFS East Side 210PSIG Expansion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71:L71"/>
    <mergeCell ref="A72:L72"/>
    <mergeCell ref="A73:L73"/>
    <mergeCell ref="A74:L74"/>
    <mergeCell ref="A75:L75"/>
    <mergeCell ref="A6:L6"/>
    <mergeCell ref="A70:L70"/>
    <mergeCell ref="A1:L1"/>
    <mergeCell ref="A2:L2"/>
    <mergeCell ref="A3:L3"/>
    <mergeCell ref="A4:L4"/>
    <mergeCell ref="A5:L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6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331</v>
      </c>
      <c r="E6" s="34"/>
      <c r="F6" s="124" t="s">
        <v>332</v>
      </c>
      <c r="G6" s="124"/>
      <c r="H6" s="124"/>
      <c r="I6" s="124"/>
      <c r="J6" s="124"/>
      <c r="K6" s="124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222</v>
      </c>
      <c r="H13" s="5">
        <v>1</v>
      </c>
      <c r="J13" s="42">
        <f>1.5/55</f>
        <v>2.7272727272727271E-2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45291</v>
      </c>
    </row>
    <row r="28" spans="1:10">
      <c r="A28" s="36">
        <v>16</v>
      </c>
      <c r="B28" s="34" t="s">
        <v>97</v>
      </c>
      <c r="D28" s="108">
        <v>108060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333</v>
      </c>
    </row>
    <row r="33" spans="2:2">
      <c r="B33" s="44" t="s">
        <v>334</v>
      </c>
    </row>
    <row r="34" spans="2:2">
      <c r="B34" s="44" t="s">
        <v>335</v>
      </c>
    </row>
    <row r="35" spans="2:2">
      <c r="B35" s="44" t="s">
        <v>336</v>
      </c>
    </row>
    <row r="36" spans="2:2">
      <c r="B36" s="44" t="s">
        <v>337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K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6.25" customHeight="1">
      <c r="A3" s="49" t="str">
        <f>'G9BDM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'G9BDM Input'!F6</f>
        <v>2023 Flow Computer Repl - SD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'G9BDM Input'!B13</f>
        <v>44180</v>
      </c>
      <c r="D15" s="55"/>
      <c r="E15" s="56">
        <f>'G9BDM Input'!D13*'G9BDM Input'!$D$7*'G9BDM Input'!$H$7</f>
        <v>0</v>
      </c>
      <c r="F15" s="57"/>
      <c r="G15" s="56">
        <f>'G9BDM Input'!D27*'G9BDM Input'!D6*'G9BDM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'G9BDM Input'!B14</f>
        <v>44211</v>
      </c>
      <c r="D16" s="55"/>
      <c r="E16" s="58">
        <f>'G9BDM Input'!D14*'G9BDM Input'!$D$7*'G9BDM Input'!$H$7</f>
        <v>0</v>
      </c>
      <c r="F16" s="57"/>
      <c r="G16" s="58">
        <f>'G9BDM Input'!D28*'G9BDM Input'!D7*'G9BDM Input'!H7</f>
        <v>108060</v>
      </c>
      <c r="H16" s="57"/>
      <c r="I16" s="58">
        <f t="shared" si="0"/>
        <v>108060</v>
      </c>
    </row>
    <row r="17" spans="1:10">
      <c r="A17" s="48">
        <f t="shared" si="1"/>
        <v>3</v>
      </c>
      <c r="C17" s="55">
        <f>'G9BDM Input'!B15</f>
        <v>44241</v>
      </c>
      <c r="D17" s="55"/>
      <c r="E17" s="58">
        <f>'G9BDM Input'!D15*'G9BDM Input'!$D$7*'G9BDM Input'!$H$7</f>
        <v>0</v>
      </c>
      <c r="F17" s="57"/>
      <c r="G17" s="59">
        <f t="shared" ref="G17:G27" si="2">$G$16</f>
        <v>108060</v>
      </c>
      <c r="H17" s="57"/>
      <c r="I17" s="59">
        <f t="shared" si="0"/>
        <v>108060</v>
      </c>
      <c r="J17" s="57"/>
    </row>
    <row r="18" spans="1:10">
      <c r="A18" s="48">
        <f t="shared" si="1"/>
        <v>4</v>
      </c>
      <c r="C18" s="55">
        <f>'G9BDM Input'!B16</f>
        <v>44271</v>
      </c>
      <c r="D18" s="55"/>
      <c r="E18" s="58">
        <f>'G9BDM Input'!D16*'G9BDM Input'!$D$7*'G9BDM Input'!$H$7</f>
        <v>0</v>
      </c>
      <c r="F18" s="57"/>
      <c r="G18" s="59">
        <f t="shared" si="2"/>
        <v>108060</v>
      </c>
      <c r="H18" s="57"/>
      <c r="I18" s="59">
        <f t="shared" si="0"/>
        <v>108060</v>
      </c>
      <c r="J18" s="57"/>
    </row>
    <row r="19" spans="1:10">
      <c r="A19" s="48">
        <f t="shared" si="1"/>
        <v>5</v>
      </c>
      <c r="C19" s="55">
        <f>'G9BDM Input'!B17</f>
        <v>44301</v>
      </c>
      <c r="D19" s="55"/>
      <c r="E19" s="58">
        <f>'G9BDM Input'!D17*'G9BDM Input'!$D$7*'G9BDM Input'!$H$7</f>
        <v>0</v>
      </c>
      <c r="F19" s="57"/>
      <c r="G19" s="59">
        <f t="shared" si="2"/>
        <v>108060</v>
      </c>
      <c r="H19" s="57"/>
      <c r="I19" s="59">
        <f t="shared" si="0"/>
        <v>108060</v>
      </c>
      <c r="J19" s="57"/>
    </row>
    <row r="20" spans="1:10">
      <c r="A20" s="48">
        <f t="shared" si="1"/>
        <v>6</v>
      </c>
      <c r="C20" s="55">
        <f>'G9BDM Input'!B18</f>
        <v>44331</v>
      </c>
      <c r="D20" s="55"/>
      <c r="E20" s="58">
        <f>'G9BDM Input'!D18*'G9BDM Input'!$D$7*'G9BDM Input'!$H$7</f>
        <v>0</v>
      </c>
      <c r="F20" s="57"/>
      <c r="G20" s="59">
        <f t="shared" si="2"/>
        <v>108060</v>
      </c>
      <c r="H20" s="57"/>
      <c r="I20" s="59">
        <f t="shared" si="0"/>
        <v>108060</v>
      </c>
      <c r="J20" s="57"/>
    </row>
    <row r="21" spans="1:10">
      <c r="A21" s="48">
        <f t="shared" si="1"/>
        <v>7</v>
      </c>
      <c r="C21" s="55">
        <f>'G9BDM Input'!B19</f>
        <v>44361</v>
      </c>
      <c r="D21" s="55"/>
      <c r="E21" s="58">
        <f>'G9BDM Input'!D19*'G9BDM Input'!$D$7*'G9BDM Input'!$H$7</f>
        <v>0</v>
      </c>
      <c r="F21" s="57"/>
      <c r="G21" s="59">
        <f t="shared" si="2"/>
        <v>108060</v>
      </c>
      <c r="H21" s="57"/>
      <c r="I21" s="59">
        <f t="shared" si="0"/>
        <v>108060</v>
      </c>
      <c r="J21" s="57"/>
    </row>
    <row r="22" spans="1:10">
      <c r="A22" s="48">
        <f t="shared" si="1"/>
        <v>8</v>
      </c>
      <c r="C22" s="55">
        <f>'G9BDM Input'!B20</f>
        <v>44391</v>
      </c>
      <c r="D22" s="55"/>
      <c r="E22" s="58">
        <f>'G9BDM Input'!D20*'G9BDM Input'!$D$7*'G9BDM Input'!$H$7</f>
        <v>0</v>
      </c>
      <c r="F22" s="57"/>
      <c r="G22" s="59">
        <f t="shared" si="2"/>
        <v>108060</v>
      </c>
      <c r="H22" s="57"/>
      <c r="I22" s="59">
        <f t="shared" si="0"/>
        <v>108060</v>
      </c>
      <c r="J22" s="57"/>
    </row>
    <row r="23" spans="1:10">
      <c r="A23" s="48">
        <f t="shared" si="1"/>
        <v>9</v>
      </c>
      <c r="C23" s="55">
        <f>'G9BDM Input'!B21</f>
        <v>44421</v>
      </c>
      <c r="D23" s="55"/>
      <c r="E23" s="58">
        <f>'G9BDM Input'!D21*'G9BDM Input'!$D$7*'G9BDM Input'!$H$7</f>
        <v>0</v>
      </c>
      <c r="F23" s="57"/>
      <c r="G23" s="59">
        <f t="shared" si="2"/>
        <v>108060</v>
      </c>
      <c r="H23" s="57"/>
      <c r="I23" s="59">
        <f t="shared" si="0"/>
        <v>108060</v>
      </c>
      <c r="J23" s="57"/>
    </row>
    <row r="24" spans="1:10">
      <c r="A24" s="48">
        <f t="shared" si="1"/>
        <v>10</v>
      </c>
      <c r="C24" s="55">
        <f>'G9BDM Input'!B22</f>
        <v>44451</v>
      </c>
      <c r="D24" s="55"/>
      <c r="E24" s="58">
        <f>'G9BDM Input'!D22*'G9BDM Input'!$D$7*'G9BDM Input'!$H$7</f>
        <v>0</v>
      </c>
      <c r="F24" s="57"/>
      <c r="G24" s="59">
        <f t="shared" si="2"/>
        <v>108060</v>
      </c>
      <c r="H24" s="57"/>
      <c r="I24" s="59">
        <f t="shared" si="0"/>
        <v>108060</v>
      </c>
      <c r="J24" s="57"/>
    </row>
    <row r="25" spans="1:10">
      <c r="A25" s="48">
        <f t="shared" si="1"/>
        <v>11</v>
      </c>
      <c r="C25" s="55">
        <f>'G9BDM Input'!B23</f>
        <v>44481</v>
      </c>
      <c r="D25" s="55"/>
      <c r="E25" s="58">
        <f>'G9BDM Input'!D23*'G9BDM Input'!$D$7*'G9BDM Input'!$H$7</f>
        <v>0</v>
      </c>
      <c r="F25" s="57"/>
      <c r="G25" s="59">
        <f t="shared" si="2"/>
        <v>108060</v>
      </c>
      <c r="H25" s="57"/>
      <c r="I25" s="59">
        <f t="shared" si="0"/>
        <v>108060</v>
      </c>
      <c r="J25" s="57"/>
    </row>
    <row r="26" spans="1:10">
      <c r="A26" s="48">
        <f t="shared" si="1"/>
        <v>12</v>
      </c>
      <c r="C26" s="55">
        <f>'G9BDM Input'!B24</f>
        <v>44511</v>
      </c>
      <c r="D26" s="55"/>
      <c r="E26" s="58">
        <f>'G9BDM Input'!D24*'G9BDM Input'!$D$7*'G9BDM Input'!$H$7</f>
        <v>0</v>
      </c>
      <c r="F26" s="57"/>
      <c r="G26" s="59">
        <f t="shared" si="2"/>
        <v>108060</v>
      </c>
      <c r="H26" s="57"/>
      <c r="I26" s="59">
        <f t="shared" si="0"/>
        <v>108060</v>
      </c>
      <c r="J26" s="57"/>
    </row>
    <row r="27" spans="1:10">
      <c r="A27" s="48">
        <f t="shared" si="1"/>
        <v>13</v>
      </c>
      <c r="C27" s="55">
        <f>'G9BDM Input'!B25</f>
        <v>44541</v>
      </c>
      <c r="D27" s="55"/>
      <c r="E27" s="60">
        <f>'G9BDM Input'!D25*'G9BDM Input'!$D$7*'G9BDM Input'!$H$7</f>
        <v>0</v>
      </c>
      <c r="F27" s="57"/>
      <c r="G27" s="61">
        <f t="shared" si="2"/>
        <v>108060</v>
      </c>
      <c r="H27" s="57"/>
      <c r="I27" s="61">
        <f t="shared" si="0"/>
        <v>108060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1296720</v>
      </c>
      <c r="H28" s="64"/>
      <c r="I28" s="63">
        <f>SUM(I16:I27)</f>
        <v>1296720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108060</v>
      </c>
      <c r="H30" s="64"/>
      <c r="I30" s="66">
        <f>ROUND(+I28/12,2)</f>
        <v>108060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108060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.75" customHeight="1">
      <c r="A3" s="119" t="str">
        <f>'G9BDM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'G9BDM Input'!F6</f>
        <v>2023 Flow Computer Repl - SD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'G9BDM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"&amp;'G9BDM Input'!F13</f>
        <v>Acct 2.379.00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'G9BDM TotalWO'!C15</f>
        <v>44180</v>
      </c>
      <c r="D15" s="55"/>
      <c r="E15" s="56">
        <f>'G9BDM TotalWO'!E15*'G9BDM Input'!$H$13</f>
        <v>0</v>
      </c>
      <c r="F15" s="68"/>
      <c r="G15" s="56">
        <f>'G9BDM TotalWO'!G15*'G9BDM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'G9BDM TotalWO'!C16</f>
        <v>44211</v>
      </c>
      <c r="D16" s="55"/>
      <c r="E16" s="58">
        <f>'G9BDM TotalWO'!E16*'G9BDM Input'!$H$13</f>
        <v>0</v>
      </c>
      <c r="F16" s="68"/>
      <c r="G16" s="58">
        <f>'G9BDM TotalWO'!G16*'G9BDM Input'!$H$13</f>
        <v>108060</v>
      </c>
      <c r="H16" s="59"/>
      <c r="I16" s="58">
        <f t="shared" si="0"/>
        <v>108060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'G9BDM TotalWO'!E17*'G9BDM Input'!$H$13</f>
        <v>0</v>
      </c>
      <c r="F17" s="68"/>
      <c r="G17" s="68">
        <f>'G9BDM TotalWO'!G17*'G9BDM Input'!$H$13</f>
        <v>108060</v>
      </c>
      <c r="H17" s="59"/>
      <c r="I17" s="59">
        <f t="shared" si="0"/>
        <v>108060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'G9BDM TotalWO'!E18*'G9BDM Input'!$H$13</f>
        <v>0</v>
      </c>
      <c r="F18" s="68"/>
      <c r="G18" s="68">
        <f>'G9BDM TotalWO'!G18*'G9BDM Input'!$H$13</f>
        <v>108060</v>
      </c>
      <c r="H18" s="59"/>
      <c r="I18" s="59">
        <f t="shared" si="0"/>
        <v>108060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'G9BDM TotalWO'!E19*'G9BDM Input'!$H$13</f>
        <v>0</v>
      </c>
      <c r="F19" s="68"/>
      <c r="G19" s="68">
        <f>'G9BDM TotalWO'!G19*'G9BDM Input'!$H$13</f>
        <v>108060</v>
      </c>
      <c r="H19" s="59"/>
      <c r="I19" s="59">
        <f t="shared" si="0"/>
        <v>108060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'G9BDM TotalWO'!E20*'G9BDM Input'!$H$13</f>
        <v>0</v>
      </c>
      <c r="F20" s="68"/>
      <c r="G20" s="68">
        <f>'G9BDM TotalWO'!G20*'G9BDM Input'!$H$13</f>
        <v>108060</v>
      </c>
      <c r="H20" s="59"/>
      <c r="I20" s="59">
        <f t="shared" si="0"/>
        <v>108060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'G9BDM TotalWO'!E21*'G9BDM Input'!$H$13</f>
        <v>0</v>
      </c>
      <c r="F21" s="68"/>
      <c r="G21" s="68">
        <f>'G9BDM TotalWO'!G21*'G9BDM Input'!$H$13</f>
        <v>108060</v>
      </c>
      <c r="H21" s="59"/>
      <c r="I21" s="59">
        <f t="shared" si="0"/>
        <v>108060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'G9BDM TotalWO'!E22*'G9BDM Input'!$H$13</f>
        <v>0</v>
      </c>
      <c r="F22" s="68"/>
      <c r="G22" s="68">
        <f>'G9BDM TotalWO'!G22*'G9BDM Input'!$H$13</f>
        <v>108060</v>
      </c>
      <c r="H22" s="59"/>
      <c r="I22" s="59">
        <f t="shared" si="0"/>
        <v>108060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'G9BDM TotalWO'!E23*'G9BDM Input'!$H$13</f>
        <v>0</v>
      </c>
      <c r="F23" s="68"/>
      <c r="G23" s="68">
        <f>'G9BDM TotalWO'!G23*'G9BDM Input'!$H$13</f>
        <v>108060</v>
      </c>
      <c r="H23" s="59"/>
      <c r="I23" s="59">
        <f t="shared" si="0"/>
        <v>108060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'G9BDM TotalWO'!E24*'G9BDM Input'!$H$13</f>
        <v>0</v>
      </c>
      <c r="F24" s="68"/>
      <c r="G24" s="68">
        <f>'G9BDM TotalWO'!G24*'G9BDM Input'!$H$13</f>
        <v>108060</v>
      </c>
      <c r="H24" s="59"/>
      <c r="I24" s="59">
        <f t="shared" si="0"/>
        <v>108060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'G9BDM TotalWO'!E25*'G9BDM Input'!$H$13</f>
        <v>0</v>
      </c>
      <c r="F25" s="68"/>
      <c r="G25" s="68">
        <f>'G9BDM TotalWO'!G25*'G9BDM Input'!$H$13</f>
        <v>108060</v>
      </c>
      <c r="H25" s="59"/>
      <c r="I25" s="59">
        <f t="shared" si="0"/>
        <v>108060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'G9BDM TotalWO'!E26*'G9BDM Input'!$H$13</f>
        <v>0</v>
      </c>
      <c r="F26" s="68"/>
      <c r="G26" s="68">
        <f>'G9BDM TotalWO'!G26*'G9BDM Input'!$H$13</f>
        <v>108060</v>
      </c>
      <c r="H26" s="59"/>
      <c r="I26" s="59">
        <f t="shared" si="0"/>
        <v>108060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'G9BDM TotalWO'!E27*'G9BDM Input'!$H$13</f>
        <v>0</v>
      </c>
      <c r="F27" s="68"/>
      <c r="G27" s="71">
        <f>'G9BDM TotalWO'!G27*'G9BDM Input'!$H$13</f>
        <v>108060</v>
      </c>
      <c r="H27" s="59"/>
      <c r="I27" s="61">
        <f t="shared" si="0"/>
        <v>108060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1296720</v>
      </c>
      <c r="H28" s="64"/>
      <c r="I28" s="63">
        <f>SUM(I16:I27)</f>
        <v>1296720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108060</v>
      </c>
      <c r="H30" s="64"/>
      <c r="I30" s="66">
        <f>ROUND(+I28/12,2)</f>
        <v>108060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108060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338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5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2023 Flow Computer Repl - SD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2.379.00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245.59</v>
      </c>
      <c r="H53" s="64"/>
      <c r="I53" s="63">
        <f t="shared" ref="I53:I64" si="4">G53-E53</f>
        <v>245.59</v>
      </c>
      <c r="K53" s="58"/>
      <c r="M53" s="17">
        <f>+ROUND(M67/12,2)</f>
        <v>19.34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245.59</v>
      </c>
      <c r="H54" s="57"/>
      <c r="I54" s="59">
        <f t="shared" si="4"/>
        <v>245.59</v>
      </c>
      <c r="M54" s="85">
        <f>+M53</f>
        <v>19.34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245.59</v>
      </c>
      <c r="H55" s="57"/>
      <c r="I55" s="59">
        <f t="shared" si="4"/>
        <v>245.59</v>
      </c>
      <c r="M55" s="85">
        <f t="shared" ref="M55:M64" si="8">+M54</f>
        <v>19.34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245.59</v>
      </c>
      <c r="H56" s="57"/>
      <c r="I56" s="59">
        <f t="shared" si="4"/>
        <v>245.59</v>
      </c>
      <c r="M56" s="85">
        <f t="shared" si="8"/>
        <v>19.34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245.59</v>
      </c>
      <c r="H57" s="57"/>
      <c r="I57" s="59">
        <f t="shared" si="4"/>
        <v>245.59</v>
      </c>
      <c r="M57" s="85">
        <f t="shared" si="8"/>
        <v>19.34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245.59</v>
      </c>
      <c r="H58" s="57"/>
      <c r="I58" s="59">
        <f t="shared" si="4"/>
        <v>245.59</v>
      </c>
      <c r="M58" s="85">
        <f t="shared" si="8"/>
        <v>19.34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245.59</v>
      </c>
      <c r="H59" s="57"/>
      <c r="I59" s="59">
        <f t="shared" si="4"/>
        <v>245.59</v>
      </c>
      <c r="M59" s="85">
        <f t="shared" si="8"/>
        <v>19.34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245.59</v>
      </c>
      <c r="H60" s="57"/>
      <c r="I60" s="59">
        <f t="shared" si="4"/>
        <v>245.59</v>
      </c>
      <c r="M60" s="85">
        <f t="shared" si="8"/>
        <v>19.34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245.59</v>
      </c>
      <c r="H61" s="57"/>
      <c r="I61" s="59">
        <f t="shared" si="4"/>
        <v>245.59</v>
      </c>
      <c r="M61" s="85">
        <f>+M60+0.01</f>
        <v>19.350000000000001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245.59</v>
      </c>
      <c r="H62" s="57"/>
      <c r="I62" s="59">
        <f t="shared" si="4"/>
        <v>245.59</v>
      </c>
      <c r="M62" s="85">
        <f t="shared" si="8"/>
        <v>19.350000000000001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245.59</v>
      </c>
      <c r="H63" s="57"/>
      <c r="I63" s="59">
        <f t="shared" si="4"/>
        <v>245.59</v>
      </c>
      <c r="M63" s="85">
        <f t="shared" si="8"/>
        <v>19.350000000000001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245.59</v>
      </c>
      <c r="H64" s="57"/>
      <c r="I64" s="61">
        <f t="shared" si="4"/>
        <v>245.59</v>
      </c>
      <c r="M64" s="61">
        <f t="shared" si="8"/>
        <v>19.350000000000001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2947.0800000000004</v>
      </c>
      <c r="H65" s="64"/>
      <c r="I65" s="63">
        <f>SUM(I53:I64)</f>
        <v>2947.0800000000004</v>
      </c>
      <c r="M65" s="63">
        <f>SUM(M53:M64)</f>
        <v>232.11999999999998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2947.0800000000004</v>
      </c>
      <c r="K67" s="66">
        <f>ROUND(G16*K73,2)</f>
        <v>4052.25</v>
      </c>
      <c r="M67" s="66">
        <f>ROUND(+(K67-I67)*M73,2)</f>
        <v>232.09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339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2.379.00</v>
      </c>
      <c r="D73" s="75"/>
      <c r="E73" s="76">
        <f>'G9BDM Input'!J13</f>
        <v>2.7272727272727271E-2</v>
      </c>
      <c r="F73" s="76"/>
      <c r="G73" s="76">
        <f>E73/12</f>
        <v>2.2727272727272726E-3</v>
      </c>
      <c r="K73" s="86">
        <f>+'G9BDM Input'!L13</f>
        <v>3.7499999999999999E-2</v>
      </c>
      <c r="M73" s="87">
        <f>+'G9BDM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4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2023 Flow Computer Repl - SD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2.379.00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245.59</v>
      </c>
      <c r="H93" s="57"/>
      <c r="I93" s="58">
        <f t="shared" si="9"/>
        <v>245.59</v>
      </c>
      <c r="M93" s="58">
        <f>+M53</f>
        <v>19.34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491.18</v>
      </c>
      <c r="H94" s="57"/>
      <c r="I94" s="59">
        <f t="shared" si="9"/>
        <v>491.18</v>
      </c>
      <c r="M94" s="59">
        <f>+M93+M54</f>
        <v>38.68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736.77</v>
      </c>
      <c r="H95" s="57"/>
      <c r="I95" s="59">
        <f t="shared" si="9"/>
        <v>736.77</v>
      </c>
      <c r="M95" s="59">
        <f t="shared" ref="M95:M104" si="14">+M94+M55</f>
        <v>58.019999999999996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982.36</v>
      </c>
      <c r="H96" s="57"/>
      <c r="I96" s="59">
        <f t="shared" si="9"/>
        <v>982.36</v>
      </c>
      <c r="M96" s="59">
        <f t="shared" si="14"/>
        <v>77.36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1227.95</v>
      </c>
      <c r="H97" s="57"/>
      <c r="I97" s="59">
        <f t="shared" si="9"/>
        <v>1227.95</v>
      </c>
      <c r="M97" s="59">
        <f t="shared" si="14"/>
        <v>96.7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1473.54</v>
      </c>
      <c r="H98" s="57"/>
      <c r="I98" s="59">
        <f t="shared" si="9"/>
        <v>1473.54</v>
      </c>
      <c r="M98" s="59">
        <f t="shared" si="14"/>
        <v>116.04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1719.1299999999999</v>
      </c>
      <c r="H99" s="57"/>
      <c r="I99" s="59">
        <f t="shared" si="9"/>
        <v>1719.1299999999999</v>
      </c>
      <c r="M99" s="59">
        <f t="shared" si="14"/>
        <v>135.38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1964.7199999999998</v>
      </c>
      <c r="H100" s="57"/>
      <c r="I100" s="59">
        <f t="shared" si="9"/>
        <v>1964.7199999999998</v>
      </c>
      <c r="M100" s="59">
        <f t="shared" si="14"/>
        <v>154.72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2210.31</v>
      </c>
      <c r="H101" s="57"/>
      <c r="I101" s="59">
        <f t="shared" si="9"/>
        <v>2210.31</v>
      </c>
      <c r="M101" s="59">
        <f t="shared" si="14"/>
        <v>174.07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2455.9</v>
      </c>
      <c r="H102" s="57"/>
      <c r="I102" s="59">
        <f t="shared" si="9"/>
        <v>2455.9</v>
      </c>
      <c r="M102" s="59">
        <f t="shared" si="14"/>
        <v>193.42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2701.4900000000002</v>
      </c>
      <c r="H103" s="57"/>
      <c r="I103" s="59">
        <f t="shared" si="9"/>
        <v>2701.4900000000002</v>
      </c>
      <c r="M103" s="59">
        <f t="shared" si="14"/>
        <v>212.76999999999998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2947.0800000000004</v>
      </c>
      <c r="H104" s="57"/>
      <c r="I104" s="61">
        <f t="shared" si="9"/>
        <v>2947.0800000000004</v>
      </c>
      <c r="M104" s="61">
        <f t="shared" si="14"/>
        <v>232.11999999999998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19156.02</v>
      </c>
      <c r="H105" s="64"/>
      <c r="I105" s="63">
        <f>SUM(I93:I104)</f>
        <v>19156.02</v>
      </c>
      <c r="M105" s="63">
        <f>SUM(M93:M104)</f>
        <v>1508.62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1596.34</v>
      </c>
      <c r="H107" s="64"/>
      <c r="I107" s="66">
        <f>ROUND(+I105/12,2)</f>
        <v>1596.34</v>
      </c>
      <c r="M107" s="66">
        <f>ROUND(+M105/12,2)</f>
        <v>125.72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1596.34</v>
      </c>
      <c r="M110" s="78">
        <f>+M107</f>
        <v>125.72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340</v>
      </c>
      <c r="M112" s="62" t="s">
        <v>341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2.379.00</v>
      </c>
      <c r="D116" s="75"/>
      <c r="E116" s="79">
        <f>E73</f>
        <v>2.7272727272727271E-2</v>
      </c>
      <c r="F116" s="79"/>
      <c r="G116" s="79">
        <f>G73</f>
        <v>2.2727272727272726E-3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75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.75" customHeight="1">
      <c r="A3" s="121" t="str">
        <f>'G9BDM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'G9BDM Input'!F6</f>
        <v>2023 Flow Computer Repl - SD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6" spans="1:12">
      <c r="B66" s="81"/>
      <c r="D66" s="82"/>
    </row>
    <row r="67" spans="1:12">
      <c r="B67" s="81"/>
      <c r="D67" s="82"/>
    </row>
    <row r="70" spans="1:12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 t="str">
        <f t="shared" ref="A72:A75" si="0">A3</f>
        <v>Pro-Forma Adjustment - System Reliability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</row>
    <row r="74" spans="1:12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</row>
    <row r="75" spans="1:12" ht="12.75">
      <c r="A75" s="121" t="str">
        <f t="shared" si="0"/>
        <v>2023 Flow Computer Repl - SD</v>
      </c>
      <c r="B75" s="121"/>
      <c r="C75" s="121"/>
      <c r="D75" s="121"/>
      <c r="E75" s="121"/>
      <c r="F75" s="121"/>
      <c r="G75" s="121"/>
      <c r="H75" s="121"/>
      <c r="I75" s="121"/>
      <c r="J75" s="121"/>
      <c r="K75" s="122"/>
      <c r="L75" s="122"/>
    </row>
  </sheetData>
  <mergeCells count="12">
    <mergeCell ref="A71:L71"/>
    <mergeCell ref="A72:L72"/>
    <mergeCell ref="A73:L73"/>
    <mergeCell ref="A74:L74"/>
    <mergeCell ref="A75:L75"/>
    <mergeCell ref="A6:L6"/>
    <mergeCell ref="A70:L70"/>
    <mergeCell ref="A1:L1"/>
    <mergeCell ref="A2:L2"/>
    <mergeCell ref="A3:L3"/>
    <mergeCell ref="A4:L4"/>
    <mergeCell ref="A5:L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7EF4-B489-4C0A-8845-E49F4A0FA22A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3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342</v>
      </c>
      <c r="E6" s="34"/>
      <c r="F6" s="124" t="s">
        <v>343</v>
      </c>
      <c r="G6" s="124"/>
      <c r="H6" s="124"/>
      <c r="I6" s="124"/>
      <c r="J6" s="124"/>
      <c r="K6" s="124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222</v>
      </c>
      <c r="H13" s="5">
        <v>1</v>
      </c>
      <c r="J13" s="42">
        <f>1.5/55</f>
        <v>2.7272727272727271E-2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45092</v>
      </c>
    </row>
    <row r="28" spans="1:10">
      <c r="A28" s="36">
        <v>16</v>
      </c>
      <c r="B28" s="34" t="s">
        <v>97</v>
      </c>
      <c r="D28" s="108">
        <v>175119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344</v>
      </c>
    </row>
    <row r="33" spans="2:2">
      <c r="B33" s="44" t="s">
        <v>345</v>
      </c>
    </row>
    <row r="34" spans="2:2">
      <c r="B34" s="44" t="s">
        <v>346</v>
      </c>
    </row>
    <row r="35" spans="2:2">
      <c r="B35" s="44" t="s">
        <v>347</v>
      </c>
    </row>
    <row r="36" spans="2:2">
      <c r="B36" s="44" t="s">
        <v>348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K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2.5" customHeight="1">
      <c r="A3" s="49" t="str">
        <f>'G99BW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'G99BW Input'!F6</f>
        <v>SFS: NW 250 PSIG Expansion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'G99BW Input'!B13</f>
        <v>44180</v>
      </c>
      <c r="D15" s="55"/>
      <c r="E15" s="56">
        <f>'G99BW Input'!D13*'G99BW Input'!$D$7*'G99BW Input'!$H$7</f>
        <v>0</v>
      </c>
      <c r="F15" s="57"/>
      <c r="G15" s="56">
        <f>'G99BW Input'!D27*'G99BW Input'!D6*'G99BW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'G99BW Input'!B14</f>
        <v>44211</v>
      </c>
      <c r="D16" s="55"/>
      <c r="E16" s="58">
        <f>'G99BW Input'!D14*'G99BW Input'!$D$7*'G99BW Input'!$H$7</f>
        <v>0</v>
      </c>
      <c r="F16" s="57"/>
      <c r="G16" s="58">
        <f>'G99BW Input'!D28*'G99BW Input'!D7*'G99BW Input'!H7</f>
        <v>2419422</v>
      </c>
      <c r="H16" s="57"/>
      <c r="I16" s="58">
        <f t="shared" si="0"/>
        <v>2419422</v>
      </c>
    </row>
    <row r="17" spans="1:10">
      <c r="A17" s="48">
        <f t="shared" si="1"/>
        <v>3</v>
      </c>
      <c r="C17" s="55">
        <f>'G99BW Input'!B15</f>
        <v>44241</v>
      </c>
      <c r="D17" s="55"/>
      <c r="E17" s="58">
        <f>'G99BW Input'!D15*'G99BW Input'!$D$7*'G99BW Input'!$H$7</f>
        <v>0</v>
      </c>
      <c r="F17" s="57"/>
      <c r="G17" s="59">
        <f t="shared" ref="G17:G27" si="2">$G$16</f>
        <v>2419422</v>
      </c>
      <c r="H17" s="57"/>
      <c r="I17" s="59">
        <f t="shared" si="0"/>
        <v>2419422</v>
      </c>
      <c r="J17" s="57"/>
    </row>
    <row r="18" spans="1:10">
      <c r="A18" s="48">
        <f t="shared" si="1"/>
        <v>4</v>
      </c>
      <c r="C18" s="55">
        <f>'G99BW Input'!B16</f>
        <v>44271</v>
      </c>
      <c r="D18" s="55"/>
      <c r="E18" s="58">
        <f>'G99BW Input'!D16*'G99BW Input'!$D$7*'G99BW Input'!$H$7</f>
        <v>0</v>
      </c>
      <c r="F18" s="57"/>
      <c r="G18" s="59">
        <f t="shared" si="2"/>
        <v>2419422</v>
      </c>
      <c r="H18" s="57"/>
      <c r="I18" s="59">
        <f t="shared" si="0"/>
        <v>2419422</v>
      </c>
      <c r="J18" s="57"/>
    </row>
    <row r="19" spans="1:10">
      <c r="A19" s="48">
        <f t="shared" si="1"/>
        <v>5</v>
      </c>
      <c r="C19" s="55">
        <f>'G99BW Input'!B17</f>
        <v>44301</v>
      </c>
      <c r="D19" s="55"/>
      <c r="E19" s="58">
        <f>'G99BW Input'!D17*'G99BW Input'!$D$7*'G99BW Input'!$H$7</f>
        <v>0</v>
      </c>
      <c r="F19" s="57"/>
      <c r="G19" s="59">
        <f t="shared" si="2"/>
        <v>2419422</v>
      </c>
      <c r="H19" s="57"/>
      <c r="I19" s="59">
        <f t="shared" si="0"/>
        <v>2419422</v>
      </c>
      <c r="J19" s="57"/>
    </row>
    <row r="20" spans="1:10">
      <c r="A20" s="48">
        <f t="shared" si="1"/>
        <v>6</v>
      </c>
      <c r="C20" s="55">
        <f>'G99BW Input'!B18</f>
        <v>44331</v>
      </c>
      <c r="D20" s="55"/>
      <c r="E20" s="58">
        <f>'G99BW Input'!D18*'G99BW Input'!$D$7*'G99BW Input'!$H$7</f>
        <v>0</v>
      </c>
      <c r="F20" s="57"/>
      <c r="G20" s="59">
        <f t="shared" si="2"/>
        <v>2419422</v>
      </c>
      <c r="H20" s="57"/>
      <c r="I20" s="59">
        <f t="shared" si="0"/>
        <v>2419422</v>
      </c>
      <c r="J20" s="57"/>
    </row>
    <row r="21" spans="1:10">
      <c r="A21" s="48">
        <f t="shared" si="1"/>
        <v>7</v>
      </c>
      <c r="C21" s="55">
        <f>'G99BW Input'!B19</f>
        <v>44361</v>
      </c>
      <c r="D21" s="55"/>
      <c r="E21" s="58">
        <f>'G99BW Input'!D19*'G99BW Input'!$D$7*'G99BW Input'!$H$7</f>
        <v>0</v>
      </c>
      <c r="F21" s="57"/>
      <c r="G21" s="59">
        <f t="shared" si="2"/>
        <v>2419422</v>
      </c>
      <c r="H21" s="57"/>
      <c r="I21" s="59">
        <f t="shared" si="0"/>
        <v>2419422</v>
      </c>
      <c r="J21" s="57"/>
    </row>
    <row r="22" spans="1:10">
      <c r="A22" s="48">
        <f t="shared" si="1"/>
        <v>8</v>
      </c>
      <c r="C22" s="55">
        <f>'G99BW Input'!B20</f>
        <v>44391</v>
      </c>
      <c r="D22" s="55"/>
      <c r="E22" s="58">
        <f>'G99BW Input'!D20*'G99BW Input'!$D$7*'G99BW Input'!$H$7</f>
        <v>0</v>
      </c>
      <c r="F22" s="57"/>
      <c r="G22" s="59">
        <f t="shared" si="2"/>
        <v>2419422</v>
      </c>
      <c r="H22" s="57"/>
      <c r="I22" s="59">
        <f t="shared" si="0"/>
        <v>2419422</v>
      </c>
      <c r="J22" s="57"/>
    </row>
    <row r="23" spans="1:10">
      <c r="A23" s="48">
        <f t="shared" si="1"/>
        <v>9</v>
      </c>
      <c r="C23" s="55">
        <f>'G99BW Input'!B21</f>
        <v>44421</v>
      </c>
      <c r="D23" s="55"/>
      <c r="E23" s="58">
        <f>'G99BW Input'!D21*'G99BW Input'!$D$7*'G99BW Input'!$H$7</f>
        <v>0</v>
      </c>
      <c r="F23" s="57"/>
      <c r="G23" s="59">
        <f t="shared" si="2"/>
        <v>2419422</v>
      </c>
      <c r="H23" s="57"/>
      <c r="I23" s="59">
        <f t="shared" si="0"/>
        <v>2419422</v>
      </c>
      <c r="J23" s="57"/>
    </row>
    <row r="24" spans="1:10">
      <c r="A24" s="48">
        <f t="shared" si="1"/>
        <v>10</v>
      </c>
      <c r="C24" s="55">
        <f>'G99BW Input'!B22</f>
        <v>44451</v>
      </c>
      <c r="D24" s="55"/>
      <c r="E24" s="58">
        <f>'G99BW Input'!D22*'G99BW Input'!$D$7*'G99BW Input'!$H$7</f>
        <v>0</v>
      </c>
      <c r="F24" s="57"/>
      <c r="G24" s="59">
        <f t="shared" si="2"/>
        <v>2419422</v>
      </c>
      <c r="H24" s="57"/>
      <c r="I24" s="59">
        <f t="shared" si="0"/>
        <v>2419422</v>
      </c>
      <c r="J24" s="57"/>
    </row>
    <row r="25" spans="1:10">
      <c r="A25" s="48">
        <f t="shared" si="1"/>
        <v>11</v>
      </c>
      <c r="C25" s="55">
        <f>'G99BW Input'!B23</f>
        <v>44481</v>
      </c>
      <c r="D25" s="55"/>
      <c r="E25" s="58">
        <f>'G99BW Input'!D23*'G99BW Input'!$D$7*'G99BW Input'!$H$7</f>
        <v>0</v>
      </c>
      <c r="F25" s="57"/>
      <c r="G25" s="59">
        <f t="shared" si="2"/>
        <v>2419422</v>
      </c>
      <c r="H25" s="57"/>
      <c r="I25" s="59">
        <f t="shared" si="0"/>
        <v>2419422</v>
      </c>
      <c r="J25" s="57"/>
    </row>
    <row r="26" spans="1:10">
      <c r="A26" s="48">
        <f t="shared" si="1"/>
        <v>12</v>
      </c>
      <c r="C26" s="55">
        <f>'G99BW Input'!B24</f>
        <v>44511</v>
      </c>
      <c r="D26" s="55"/>
      <c r="E26" s="58">
        <f>'G99BW Input'!D24*'G99BW Input'!$D$7*'G99BW Input'!$H$7</f>
        <v>0</v>
      </c>
      <c r="F26" s="57"/>
      <c r="G26" s="59">
        <f t="shared" si="2"/>
        <v>2419422</v>
      </c>
      <c r="H26" s="57"/>
      <c r="I26" s="59">
        <f t="shared" si="0"/>
        <v>2419422</v>
      </c>
      <c r="J26" s="57"/>
    </row>
    <row r="27" spans="1:10">
      <c r="A27" s="48">
        <f t="shared" si="1"/>
        <v>13</v>
      </c>
      <c r="C27" s="55">
        <f>'G99BW Input'!B25</f>
        <v>44541</v>
      </c>
      <c r="D27" s="55"/>
      <c r="E27" s="60">
        <f>'G99BW Input'!D25*'G99BW Input'!$D$7*'G99BW Input'!$H$7</f>
        <v>0</v>
      </c>
      <c r="F27" s="57"/>
      <c r="G27" s="61">
        <f t="shared" si="2"/>
        <v>2419422</v>
      </c>
      <c r="H27" s="57"/>
      <c r="I27" s="61">
        <f t="shared" si="0"/>
        <v>2419422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29033064</v>
      </c>
      <c r="H28" s="64"/>
      <c r="I28" s="63">
        <f>SUM(I16:I27)</f>
        <v>29033064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2419422</v>
      </c>
      <c r="H30" s="64"/>
      <c r="I30" s="66">
        <f>ROUND(+I28/12,2)</f>
        <v>2419422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2419422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407A-D050-4B91-92F3-C505B53A9A9B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4" customHeight="1">
      <c r="A3" s="49" t="str">
        <f>'G9BDG Input 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'G9BDG Input '!F6</f>
        <v>SFS: SF West TBS Capacity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'G9BDG Input '!B13</f>
        <v>44180</v>
      </c>
      <c r="D15" s="55"/>
      <c r="E15" s="56">
        <f>'G9BDG Input '!D13*'G9BDG Input '!$D$7*'G9BDG Input '!$H$7</f>
        <v>0</v>
      </c>
      <c r="F15" s="57"/>
      <c r="G15" s="56">
        <f>'G9BDG Input '!D27*'G9BDG Input '!D6*'G9BDG Input 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'G9BDG Input '!B14</f>
        <v>44211</v>
      </c>
      <c r="D16" s="55"/>
      <c r="E16" s="58">
        <f>'G9BDG Input '!D14*'G9BDG Input '!$D$7*'G9BDG Input '!$H$7</f>
        <v>0</v>
      </c>
      <c r="F16" s="57"/>
      <c r="G16" s="58">
        <f>'G9BDG Input '!D28*'G9BDG Input '!D7*'G9BDG Input '!H7</f>
        <v>175119</v>
      </c>
      <c r="H16" s="57"/>
      <c r="I16" s="58">
        <f t="shared" si="0"/>
        <v>175119</v>
      </c>
    </row>
    <row r="17" spans="1:10">
      <c r="A17" s="48">
        <f t="shared" si="1"/>
        <v>3</v>
      </c>
      <c r="C17" s="55">
        <f>'G9BDG Input '!B15</f>
        <v>44241</v>
      </c>
      <c r="D17" s="55"/>
      <c r="E17" s="58">
        <f>'G9BDG Input '!D15*'G9BDG Input '!$D$7*'G9BDG Input '!$H$7</f>
        <v>0</v>
      </c>
      <c r="F17" s="57"/>
      <c r="G17" s="59">
        <f t="shared" ref="G17:G27" si="2">$G$16</f>
        <v>175119</v>
      </c>
      <c r="H17" s="57"/>
      <c r="I17" s="59">
        <f t="shared" si="0"/>
        <v>175119</v>
      </c>
      <c r="J17" s="57"/>
    </row>
    <row r="18" spans="1:10">
      <c r="A18" s="48">
        <f t="shared" si="1"/>
        <v>4</v>
      </c>
      <c r="C18" s="55">
        <f>'G9BDG Input '!B16</f>
        <v>44271</v>
      </c>
      <c r="D18" s="55"/>
      <c r="E18" s="58">
        <f>'G9BDG Input '!D16*'G9BDG Input '!$D$7*'G9BDG Input '!$H$7</f>
        <v>0</v>
      </c>
      <c r="F18" s="57"/>
      <c r="G18" s="59">
        <f t="shared" si="2"/>
        <v>175119</v>
      </c>
      <c r="H18" s="57"/>
      <c r="I18" s="59">
        <f t="shared" si="0"/>
        <v>175119</v>
      </c>
      <c r="J18" s="57"/>
    </row>
    <row r="19" spans="1:10">
      <c r="A19" s="48">
        <f t="shared" si="1"/>
        <v>5</v>
      </c>
      <c r="C19" s="55">
        <f>'G9BDG Input '!B17</f>
        <v>44301</v>
      </c>
      <c r="D19" s="55"/>
      <c r="E19" s="58">
        <f>'G9BDG Input '!D17*'G9BDG Input '!$D$7*'G9BDG Input '!$H$7</f>
        <v>0</v>
      </c>
      <c r="F19" s="57"/>
      <c r="G19" s="59">
        <f t="shared" si="2"/>
        <v>175119</v>
      </c>
      <c r="H19" s="57"/>
      <c r="I19" s="59">
        <f t="shared" si="0"/>
        <v>175119</v>
      </c>
      <c r="J19" s="57"/>
    </row>
    <row r="20" spans="1:10">
      <c r="A20" s="48">
        <f t="shared" si="1"/>
        <v>6</v>
      </c>
      <c r="C20" s="55">
        <f>'G9BDG Input '!B18</f>
        <v>44331</v>
      </c>
      <c r="D20" s="55"/>
      <c r="E20" s="58">
        <f>'G9BDG Input '!D18*'G9BDG Input '!$D$7*'G9BDG Input '!$H$7</f>
        <v>0</v>
      </c>
      <c r="F20" s="57"/>
      <c r="G20" s="59">
        <f t="shared" si="2"/>
        <v>175119</v>
      </c>
      <c r="H20" s="57"/>
      <c r="I20" s="59">
        <f t="shared" si="0"/>
        <v>175119</v>
      </c>
      <c r="J20" s="57"/>
    </row>
    <row r="21" spans="1:10">
      <c r="A21" s="48">
        <f t="shared" si="1"/>
        <v>7</v>
      </c>
      <c r="C21" s="55">
        <f>'G9BDG Input '!B19</f>
        <v>44361</v>
      </c>
      <c r="D21" s="55"/>
      <c r="E21" s="58">
        <f>'G9BDG Input '!D19*'G9BDG Input '!$D$7*'G9BDG Input '!$H$7</f>
        <v>0</v>
      </c>
      <c r="F21" s="57"/>
      <c r="G21" s="59">
        <f t="shared" si="2"/>
        <v>175119</v>
      </c>
      <c r="H21" s="57"/>
      <c r="I21" s="59">
        <f t="shared" si="0"/>
        <v>175119</v>
      </c>
      <c r="J21" s="57"/>
    </row>
    <row r="22" spans="1:10">
      <c r="A22" s="48">
        <f t="shared" si="1"/>
        <v>8</v>
      </c>
      <c r="C22" s="55">
        <f>'G9BDG Input '!B20</f>
        <v>44391</v>
      </c>
      <c r="D22" s="55"/>
      <c r="E22" s="58">
        <f>'G9BDG Input '!D20*'G9BDG Input '!$D$7*'G9BDG Input '!$H$7</f>
        <v>0</v>
      </c>
      <c r="F22" s="57"/>
      <c r="G22" s="59">
        <f t="shared" si="2"/>
        <v>175119</v>
      </c>
      <c r="H22" s="57"/>
      <c r="I22" s="59">
        <f t="shared" si="0"/>
        <v>175119</v>
      </c>
      <c r="J22" s="57"/>
    </row>
    <row r="23" spans="1:10">
      <c r="A23" s="48">
        <f t="shared" si="1"/>
        <v>9</v>
      </c>
      <c r="C23" s="55">
        <f>'G9BDG Input '!B21</f>
        <v>44421</v>
      </c>
      <c r="D23" s="55"/>
      <c r="E23" s="58">
        <f>'G9BDG Input '!D21*'G9BDG Input '!$D$7*'G9BDG Input '!$H$7</f>
        <v>0</v>
      </c>
      <c r="F23" s="57"/>
      <c r="G23" s="59">
        <f t="shared" si="2"/>
        <v>175119</v>
      </c>
      <c r="H23" s="57"/>
      <c r="I23" s="59">
        <f t="shared" si="0"/>
        <v>175119</v>
      </c>
      <c r="J23" s="57"/>
    </row>
    <row r="24" spans="1:10">
      <c r="A24" s="48">
        <f t="shared" si="1"/>
        <v>10</v>
      </c>
      <c r="C24" s="55">
        <f>'G9BDG Input '!B22</f>
        <v>44451</v>
      </c>
      <c r="D24" s="55"/>
      <c r="E24" s="58">
        <f>'G9BDG Input '!D22*'G9BDG Input '!$D$7*'G9BDG Input '!$H$7</f>
        <v>0</v>
      </c>
      <c r="F24" s="57"/>
      <c r="G24" s="59">
        <f t="shared" si="2"/>
        <v>175119</v>
      </c>
      <c r="H24" s="57"/>
      <c r="I24" s="59">
        <f t="shared" si="0"/>
        <v>175119</v>
      </c>
      <c r="J24" s="57"/>
    </row>
    <row r="25" spans="1:10">
      <c r="A25" s="48">
        <f t="shared" si="1"/>
        <v>11</v>
      </c>
      <c r="C25" s="55">
        <f>'G9BDG Input '!B23</f>
        <v>44481</v>
      </c>
      <c r="D25" s="55"/>
      <c r="E25" s="58">
        <f>'G9BDG Input '!D23*'G9BDG Input '!$D$7*'G9BDG Input '!$H$7</f>
        <v>0</v>
      </c>
      <c r="F25" s="57"/>
      <c r="G25" s="59">
        <f t="shared" si="2"/>
        <v>175119</v>
      </c>
      <c r="H25" s="57"/>
      <c r="I25" s="59">
        <f t="shared" si="0"/>
        <v>175119</v>
      </c>
      <c r="J25" s="57"/>
    </row>
    <row r="26" spans="1:10">
      <c r="A26" s="48">
        <f t="shared" si="1"/>
        <v>12</v>
      </c>
      <c r="C26" s="55">
        <f>'G9BDG Input '!B24</f>
        <v>44511</v>
      </c>
      <c r="D26" s="55"/>
      <c r="E26" s="58">
        <f>'G9BDG Input '!D24*'G9BDG Input '!$D$7*'G9BDG Input '!$H$7</f>
        <v>0</v>
      </c>
      <c r="F26" s="57"/>
      <c r="G26" s="59">
        <f t="shared" si="2"/>
        <v>175119</v>
      </c>
      <c r="H26" s="57"/>
      <c r="I26" s="59">
        <f t="shared" si="0"/>
        <v>175119</v>
      </c>
      <c r="J26" s="57"/>
    </row>
    <row r="27" spans="1:10">
      <c r="A27" s="48">
        <f t="shared" si="1"/>
        <v>13</v>
      </c>
      <c r="C27" s="55">
        <f>'G9BDG Input '!B25</f>
        <v>44541</v>
      </c>
      <c r="D27" s="55"/>
      <c r="E27" s="60">
        <f>'G9BDG Input '!D25*'G9BDG Input '!$D$7*'G9BDG Input '!$H$7</f>
        <v>0</v>
      </c>
      <c r="F27" s="57"/>
      <c r="G27" s="61">
        <f t="shared" si="2"/>
        <v>175119</v>
      </c>
      <c r="H27" s="57"/>
      <c r="I27" s="61">
        <f t="shared" si="0"/>
        <v>175119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2101428</v>
      </c>
      <c r="H28" s="64"/>
      <c r="I28" s="63">
        <f>SUM(I16:I27)</f>
        <v>2101428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175119</v>
      </c>
      <c r="H30" s="64"/>
      <c r="I30" s="66">
        <f>ROUND(+I28/12,2)</f>
        <v>175119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175119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B0E2-6F34-40AE-BF34-A4B0305650E5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'G9BDG Input 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'G9BDG Input '!F6</f>
        <v>SFS: SF West TBS Capacity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'G9BDG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"&amp;'G9BDG Input '!F13</f>
        <v>Acct 2.379.00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'G9BDG TotalWO'!C15</f>
        <v>44180</v>
      </c>
      <c r="D15" s="55"/>
      <c r="E15" s="56">
        <f>'G9BDG TotalWO'!E15*'G9BDG Input '!$H$13</f>
        <v>0</v>
      </c>
      <c r="F15" s="68"/>
      <c r="G15" s="56">
        <f>'G9BDG TotalWO'!G15*'G9BDG Input 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'G9BDG TotalWO'!C16</f>
        <v>44211</v>
      </c>
      <c r="D16" s="55"/>
      <c r="E16" s="58">
        <f>'G9BDG TotalWO'!E16*'G9BDG Input '!$H$13</f>
        <v>0</v>
      </c>
      <c r="F16" s="68"/>
      <c r="G16" s="58">
        <f>'G9BDG TotalWO'!G16*'G9BDG Input '!$H$13</f>
        <v>175119</v>
      </c>
      <c r="H16" s="59"/>
      <c r="I16" s="58">
        <f t="shared" si="0"/>
        <v>175119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'G9BDG TotalWO'!E17*'G9BDG Input '!$H$13</f>
        <v>0</v>
      </c>
      <c r="F17" s="68"/>
      <c r="G17" s="68">
        <f>'G9BDG TotalWO'!G17*'G9BDG Input '!$H$13</f>
        <v>175119</v>
      </c>
      <c r="H17" s="59"/>
      <c r="I17" s="59">
        <f t="shared" si="0"/>
        <v>175119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'G9BDG TotalWO'!E18*'G9BDG Input '!$H$13</f>
        <v>0</v>
      </c>
      <c r="F18" s="68"/>
      <c r="G18" s="68">
        <f>'G9BDG TotalWO'!G18*'G9BDG Input '!$H$13</f>
        <v>175119</v>
      </c>
      <c r="H18" s="59"/>
      <c r="I18" s="59">
        <f t="shared" si="0"/>
        <v>175119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'G9BDG TotalWO'!E19*'G9BDG Input '!$H$13</f>
        <v>0</v>
      </c>
      <c r="F19" s="68"/>
      <c r="G19" s="68">
        <f>'G9BDG TotalWO'!G19*'G9BDG Input '!$H$13</f>
        <v>175119</v>
      </c>
      <c r="H19" s="59"/>
      <c r="I19" s="59">
        <f t="shared" si="0"/>
        <v>175119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'G9BDG TotalWO'!E20*'G9BDG Input '!$H$13</f>
        <v>0</v>
      </c>
      <c r="F20" s="68"/>
      <c r="G20" s="68">
        <f>'G9BDG TotalWO'!G20*'G9BDG Input '!$H$13</f>
        <v>175119</v>
      </c>
      <c r="H20" s="59"/>
      <c r="I20" s="59">
        <f t="shared" si="0"/>
        <v>175119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'G9BDG TotalWO'!E21*'G9BDG Input '!$H$13</f>
        <v>0</v>
      </c>
      <c r="F21" s="68"/>
      <c r="G21" s="68">
        <f>'G9BDG TotalWO'!G21*'G9BDG Input '!$H$13</f>
        <v>175119</v>
      </c>
      <c r="H21" s="59"/>
      <c r="I21" s="59">
        <f t="shared" si="0"/>
        <v>175119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'G9BDG TotalWO'!E22*'G9BDG Input '!$H$13</f>
        <v>0</v>
      </c>
      <c r="F22" s="68"/>
      <c r="G22" s="68">
        <f>'G9BDG TotalWO'!G22*'G9BDG Input '!$H$13</f>
        <v>175119</v>
      </c>
      <c r="H22" s="59"/>
      <c r="I22" s="59">
        <f t="shared" si="0"/>
        <v>175119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'G9BDG TotalWO'!E23*'G9BDG Input '!$H$13</f>
        <v>0</v>
      </c>
      <c r="F23" s="68"/>
      <c r="G23" s="68">
        <f>'G9BDG TotalWO'!G23*'G9BDG Input '!$H$13</f>
        <v>175119</v>
      </c>
      <c r="H23" s="59"/>
      <c r="I23" s="59">
        <f t="shared" si="0"/>
        <v>175119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'G9BDG TotalWO'!E24*'G9BDG Input '!$H$13</f>
        <v>0</v>
      </c>
      <c r="F24" s="68"/>
      <c r="G24" s="68">
        <f>'G9BDG TotalWO'!G24*'G9BDG Input '!$H$13</f>
        <v>175119</v>
      </c>
      <c r="H24" s="59"/>
      <c r="I24" s="59">
        <f t="shared" si="0"/>
        <v>175119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'G9BDG TotalWO'!E25*'G9BDG Input '!$H$13</f>
        <v>0</v>
      </c>
      <c r="F25" s="68"/>
      <c r="G25" s="68">
        <f>'G9BDG TotalWO'!G25*'G9BDG Input '!$H$13</f>
        <v>175119</v>
      </c>
      <c r="H25" s="59"/>
      <c r="I25" s="59">
        <f t="shared" si="0"/>
        <v>175119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'G9BDG TotalWO'!E26*'G9BDG Input '!$H$13</f>
        <v>0</v>
      </c>
      <c r="F26" s="68"/>
      <c r="G26" s="68">
        <f>'G9BDG TotalWO'!G26*'G9BDG Input '!$H$13</f>
        <v>175119</v>
      </c>
      <c r="H26" s="59"/>
      <c r="I26" s="59">
        <f t="shared" si="0"/>
        <v>175119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'G9BDG TotalWO'!E27*'G9BDG Input '!$H$13</f>
        <v>0</v>
      </c>
      <c r="F27" s="68"/>
      <c r="G27" s="71">
        <f>'G9BDG TotalWO'!G27*'G9BDG Input '!$H$13</f>
        <v>175119</v>
      </c>
      <c r="H27" s="59"/>
      <c r="I27" s="61">
        <f t="shared" si="0"/>
        <v>175119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2101428</v>
      </c>
      <c r="H28" s="64"/>
      <c r="I28" s="63">
        <f>SUM(I16:I27)</f>
        <v>2101428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175119</v>
      </c>
      <c r="H30" s="64"/>
      <c r="I30" s="66">
        <f>ROUND(+I28/12,2)</f>
        <v>175119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175119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349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SF West TBS Capacity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2.379.00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398</v>
      </c>
      <c r="H53" s="64"/>
      <c r="I53" s="63">
        <f t="shared" ref="I53:I64" si="4">G53-E53</f>
        <v>398</v>
      </c>
      <c r="K53" s="58"/>
      <c r="M53" s="17">
        <f>+ROUND(M67/12,2)</f>
        <v>31.34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398</v>
      </c>
      <c r="H54" s="57"/>
      <c r="I54" s="59">
        <f t="shared" si="4"/>
        <v>398</v>
      </c>
      <c r="M54" s="85">
        <f>+M53</f>
        <v>31.34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398</v>
      </c>
      <c r="H55" s="57"/>
      <c r="I55" s="59">
        <f t="shared" si="4"/>
        <v>398</v>
      </c>
      <c r="M55" s="85">
        <f t="shared" ref="M55:M64" si="8">+M54</f>
        <v>31.34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398</v>
      </c>
      <c r="H56" s="57"/>
      <c r="I56" s="59">
        <f t="shared" si="4"/>
        <v>398</v>
      </c>
      <c r="M56" s="85">
        <f t="shared" si="8"/>
        <v>31.34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398</v>
      </c>
      <c r="H57" s="57"/>
      <c r="I57" s="59">
        <f t="shared" si="4"/>
        <v>398</v>
      </c>
      <c r="M57" s="85">
        <f t="shared" si="8"/>
        <v>31.34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398</v>
      </c>
      <c r="H58" s="57"/>
      <c r="I58" s="59">
        <f t="shared" si="4"/>
        <v>398</v>
      </c>
      <c r="M58" s="85">
        <f t="shared" si="8"/>
        <v>31.34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398</v>
      </c>
      <c r="H59" s="57"/>
      <c r="I59" s="59">
        <f t="shared" si="4"/>
        <v>398</v>
      </c>
      <c r="M59" s="85">
        <f t="shared" si="8"/>
        <v>31.34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398</v>
      </c>
      <c r="H60" s="57"/>
      <c r="I60" s="59">
        <f t="shared" si="4"/>
        <v>398</v>
      </c>
      <c r="M60" s="85">
        <f t="shared" si="8"/>
        <v>31.34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398</v>
      </c>
      <c r="H61" s="57"/>
      <c r="I61" s="59">
        <f t="shared" si="4"/>
        <v>398</v>
      </c>
      <c r="M61" s="85">
        <f>+M60+0.01</f>
        <v>31.35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398</v>
      </c>
      <c r="H62" s="57"/>
      <c r="I62" s="59">
        <f t="shared" si="4"/>
        <v>398</v>
      </c>
      <c r="M62" s="85">
        <f t="shared" si="8"/>
        <v>31.35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398</v>
      </c>
      <c r="H63" s="57"/>
      <c r="I63" s="59">
        <f t="shared" si="4"/>
        <v>398</v>
      </c>
      <c r="M63" s="85">
        <f t="shared" si="8"/>
        <v>31.35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398</v>
      </c>
      <c r="H64" s="57"/>
      <c r="I64" s="61">
        <f t="shared" si="4"/>
        <v>398</v>
      </c>
      <c r="M64" s="61">
        <f t="shared" si="8"/>
        <v>31.35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4776</v>
      </c>
      <c r="H65" s="64"/>
      <c r="I65" s="63">
        <f>SUM(I53:I64)</f>
        <v>4776</v>
      </c>
      <c r="M65" s="63">
        <f>SUM(M53:M64)</f>
        <v>376.12000000000006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4776</v>
      </c>
      <c r="K67" s="66">
        <f>ROUND(G16*K73,2)</f>
        <v>6566.96</v>
      </c>
      <c r="M67" s="66">
        <f>ROUND(+(K67-I67)*M73,2)</f>
        <v>376.1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350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2.379.00</v>
      </c>
      <c r="D73" s="75"/>
      <c r="E73" s="76">
        <f>'G9BDG Input '!J13</f>
        <v>2.7272727272727271E-2</v>
      </c>
      <c r="F73" s="76"/>
      <c r="G73" s="76">
        <f>E73/12</f>
        <v>2.2727272727272726E-3</v>
      </c>
      <c r="K73" s="86">
        <f>+'G9BDG Input '!L13</f>
        <v>3.7499999999999999E-2</v>
      </c>
      <c r="M73" s="87">
        <f>+'G9BDG Input 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3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SF West TBS Capacity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2.379.00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398</v>
      </c>
      <c r="H93" s="57"/>
      <c r="I93" s="58">
        <f t="shared" si="9"/>
        <v>398</v>
      </c>
      <c r="M93" s="58">
        <f>+M53</f>
        <v>31.34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796</v>
      </c>
      <c r="H94" s="57"/>
      <c r="I94" s="59">
        <f t="shared" si="9"/>
        <v>796</v>
      </c>
      <c r="M94" s="59">
        <f>+M93+M54</f>
        <v>62.68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1194</v>
      </c>
      <c r="H95" s="57"/>
      <c r="I95" s="59">
        <f t="shared" si="9"/>
        <v>1194</v>
      </c>
      <c r="M95" s="59">
        <f t="shared" ref="M95:M104" si="14">+M94+M55</f>
        <v>94.02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1592</v>
      </c>
      <c r="H96" s="57"/>
      <c r="I96" s="59">
        <f t="shared" si="9"/>
        <v>1592</v>
      </c>
      <c r="M96" s="59">
        <f t="shared" si="14"/>
        <v>125.36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1990</v>
      </c>
      <c r="H97" s="57"/>
      <c r="I97" s="59">
        <f t="shared" si="9"/>
        <v>1990</v>
      </c>
      <c r="M97" s="59">
        <f t="shared" si="14"/>
        <v>156.69999999999999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2388</v>
      </c>
      <c r="H98" s="57"/>
      <c r="I98" s="59">
        <f t="shared" si="9"/>
        <v>2388</v>
      </c>
      <c r="M98" s="59">
        <f t="shared" si="14"/>
        <v>188.04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2786</v>
      </c>
      <c r="H99" s="57"/>
      <c r="I99" s="59">
        <f t="shared" si="9"/>
        <v>2786</v>
      </c>
      <c r="M99" s="59">
        <f t="shared" si="14"/>
        <v>219.38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3184</v>
      </c>
      <c r="H100" s="57"/>
      <c r="I100" s="59">
        <f t="shared" si="9"/>
        <v>3184</v>
      </c>
      <c r="M100" s="59">
        <f t="shared" si="14"/>
        <v>250.72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3582</v>
      </c>
      <c r="H101" s="57"/>
      <c r="I101" s="59">
        <f t="shared" si="9"/>
        <v>3582</v>
      </c>
      <c r="M101" s="59">
        <f t="shared" si="14"/>
        <v>282.07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3980</v>
      </c>
      <c r="H102" s="57"/>
      <c r="I102" s="59">
        <f t="shared" si="9"/>
        <v>3980</v>
      </c>
      <c r="M102" s="59">
        <f t="shared" si="14"/>
        <v>313.42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4378</v>
      </c>
      <c r="H103" s="57"/>
      <c r="I103" s="59">
        <f t="shared" si="9"/>
        <v>4378</v>
      </c>
      <c r="M103" s="59">
        <f t="shared" si="14"/>
        <v>344.77000000000004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4776</v>
      </c>
      <c r="H104" s="57"/>
      <c r="I104" s="61">
        <f t="shared" si="9"/>
        <v>4776</v>
      </c>
      <c r="M104" s="61">
        <f t="shared" si="14"/>
        <v>376.12000000000006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31044</v>
      </c>
      <c r="H105" s="64"/>
      <c r="I105" s="63">
        <f>SUM(I93:I104)</f>
        <v>31044</v>
      </c>
      <c r="M105" s="63">
        <f>SUM(M93:M104)</f>
        <v>2444.62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2587</v>
      </c>
      <c r="H107" s="64"/>
      <c r="I107" s="66">
        <f>ROUND(+I105/12,2)</f>
        <v>2587</v>
      </c>
      <c r="M107" s="66">
        <f>ROUND(+M105/12,2)</f>
        <v>203.72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2587</v>
      </c>
      <c r="M110" s="78">
        <f>+M107</f>
        <v>203.72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351</v>
      </c>
      <c r="M112" s="62" t="s">
        <v>352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2.379.00</v>
      </c>
      <c r="D116" s="75"/>
      <c r="E116" s="79">
        <f>E73</f>
        <v>2.7272727272727271E-2</v>
      </c>
      <c r="F116" s="79"/>
      <c r="G116" s="79">
        <f>G73</f>
        <v>2.2727272727272726E-3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6B8A-BC3F-4CD2-A7CA-E229AFEE4ACF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'G9BDG Input 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'G9BDG Input '!F6</f>
        <v>SFS: SF West TBS Capacity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2">
      <c r="B65" s="81"/>
      <c r="D65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 t="str">
        <f t="shared" ref="A70:A73" si="0"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 t="shared" si="0"/>
        <v>SFS: SF West TBS Capacity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1:L1"/>
    <mergeCell ref="A2:L2"/>
    <mergeCell ref="A3:L3"/>
    <mergeCell ref="A4:L4"/>
    <mergeCell ref="A5:L5"/>
    <mergeCell ref="A72:L72"/>
    <mergeCell ref="A73:L73"/>
    <mergeCell ref="A6:L6"/>
    <mergeCell ref="A68:L68"/>
    <mergeCell ref="A69:L69"/>
    <mergeCell ref="A70:L70"/>
    <mergeCell ref="A71:L71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BB08-1059-4F5F-B643-3AD345A0B089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3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353</v>
      </c>
      <c r="E6" s="34"/>
      <c r="F6" s="124" t="s">
        <v>354</v>
      </c>
      <c r="G6" s="124"/>
      <c r="H6" s="124"/>
      <c r="I6" s="124"/>
      <c r="J6" s="124"/>
      <c r="K6" s="124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94</v>
      </c>
      <c r="H13" s="5">
        <v>0.7461231800386191</v>
      </c>
      <c r="J13" s="42">
        <f>1.5/68</f>
        <v>2.2058823529411766E-2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355</v>
      </c>
      <c r="H14" s="5">
        <v>0.2538768199613809</v>
      </c>
      <c r="J14" s="42">
        <f>1.45/52</f>
        <v>2.7884615384615383E-2</v>
      </c>
    </row>
    <row r="15" spans="1:14">
      <c r="A15" s="36">
        <v>3</v>
      </c>
      <c r="B15" s="40">
        <f t="shared" ref="B15:B25" si="0"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si="0"/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45170</v>
      </c>
    </row>
    <row r="28" spans="1:10">
      <c r="A28" s="36">
        <v>16</v>
      </c>
      <c r="B28" s="34" t="s">
        <v>97</v>
      </c>
      <c r="D28" s="108">
        <v>1844682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356</v>
      </c>
    </row>
    <row r="33" spans="2:2">
      <c r="B33" s="44" t="s">
        <v>357</v>
      </c>
    </row>
    <row r="34" spans="2:2">
      <c r="B34" s="44" t="s">
        <v>358</v>
      </c>
    </row>
    <row r="35" spans="2:2">
      <c r="B35" s="44" t="s">
        <v>359</v>
      </c>
    </row>
    <row r="36" spans="2:2">
      <c r="B36" s="44" t="s">
        <v>360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K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BFBF-3868-4297-91D6-D56B72E6C06B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4" customHeight="1">
      <c r="A3" s="49" t="str">
        <f>'G9BDQ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'G9BDQ Input'!F6</f>
        <v>SFS: SFS 60th St N 250Psig Upgrade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'G9BDQ Input'!B13</f>
        <v>44180</v>
      </c>
      <c r="D15" s="55"/>
      <c r="E15" s="56">
        <f>'G9BDQ Input'!D13*'G9BDQ Input'!$D$7*'G9BDQ Input'!$H$7</f>
        <v>0</v>
      </c>
      <c r="F15" s="57"/>
      <c r="G15" s="56">
        <f>'G9BDQ Input'!D27*'G9BDQ Input'!D6*'G9BDQ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'G9BDQ Input'!B14</f>
        <v>44211</v>
      </c>
      <c r="D16" s="55"/>
      <c r="E16" s="58">
        <f>'G9BDQ Input'!D14*'G9BDQ Input'!$D$7*'G9BDQ Input'!$H$7</f>
        <v>0</v>
      </c>
      <c r="F16" s="57"/>
      <c r="G16" s="58">
        <f>'G9BDQ Input'!D28*'G9BDQ Input'!D7*'G9BDQ Input'!H7</f>
        <v>1844682</v>
      </c>
      <c r="H16" s="57"/>
      <c r="I16" s="58">
        <f t="shared" si="0"/>
        <v>1844682</v>
      </c>
    </row>
    <row r="17" spans="1:10">
      <c r="A17" s="48">
        <f t="shared" si="1"/>
        <v>3</v>
      </c>
      <c r="C17" s="55">
        <f>'G9BDQ Input'!B15</f>
        <v>44241</v>
      </c>
      <c r="D17" s="55"/>
      <c r="E17" s="58">
        <f>'G9BDQ Input'!D15*'G9BDQ Input'!$D$7*'G9BDQ Input'!$H$7</f>
        <v>0</v>
      </c>
      <c r="F17" s="57"/>
      <c r="G17" s="59">
        <f t="shared" ref="G17:G27" si="2">$G$16</f>
        <v>1844682</v>
      </c>
      <c r="H17" s="57"/>
      <c r="I17" s="59">
        <f t="shared" si="0"/>
        <v>1844682</v>
      </c>
      <c r="J17" s="57"/>
    </row>
    <row r="18" spans="1:10">
      <c r="A18" s="48">
        <f t="shared" si="1"/>
        <v>4</v>
      </c>
      <c r="C18" s="55">
        <f>'G9BDQ Input'!B16</f>
        <v>44271</v>
      </c>
      <c r="D18" s="55"/>
      <c r="E18" s="58">
        <f>'G9BDQ Input'!D16*'G9BDQ Input'!$D$7*'G9BDQ Input'!$H$7</f>
        <v>0</v>
      </c>
      <c r="F18" s="57"/>
      <c r="G18" s="59">
        <f t="shared" si="2"/>
        <v>1844682</v>
      </c>
      <c r="H18" s="57"/>
      <c r="I18" s="59">
        <f t="shared" si="0"/>
        <v>1844682</v>
      </c>
      <c r="J18" s="57"/>
    </row>
    <row r="19" spans="1:10">
      <c r="A19" s="48">
        <f t="shared" si="1"/>
        <v>5</v>
      </c>
      <c r="C19" s="55">
        <f>'G9BDQ Input'!B17</f>
        <v>44301</v>
      </c>
      <c r="D19" s="55"/>
      <c r="E19" s="58">
        <f>'G9BDQ Input'!D17*'G9BDQ Input'!$D$7*'G9BDQ Input'!$H$7</f>
        <v>0</v>
      </c>
      <c r="F19" s="57"/>
      <c r="G19" s="59">
        <f t="shared" si="2"/>
        <v>1844682</v>
      </c>
      <c r="H19" s="57"/>
      <c r="I19" s="59">
        <f t="shared" si="0"/>
        <v>1844682</v>
      </c>
      <c r="J19" s="57"/>
    </row>
    <row r="20" spans="1:10">
      <c r="A20" s="48">
        <f t="shared" si="1"/>
        <v>6</v>
      </c>
      <c r="C20" s="55">
        <f>'G9BDQ Input'!B18</f>
        <v>44331</v>
      </c>
      <c r="D20" s="55"/>
      <c r="E20" s="58">
        <f>'G9BDQ Input'!D18*'G9BDQ Input'!$D$7*'G9BDQ Input'!$H$7</f>
        <v>0</v>
      </c>
      <c r="F20" s="57"/>
      <c r="G20" s="59">
        <f t="shared" si="2"/>
        <v>1844682</v>
      </c>
      <c r="H20" s="57"/>
      <c r="I20" s="59">
        <f t="shared" si="0"/>
        <v>1844682</v>
      </c>
      <c r="J20" s="57"/>
    </row>
    <row r="21" spans="1:10">
      <c r="A21" s="48">
        <f t="shared" si="1"/>
        <v>7</v>
      </c>
      <c r="C21" s="55">
        <f>'G9BDQ Input'!B19</f>
        <v>44361</v>
      </c>
      <c r="D21" s="55"/>
      <c r="E21" s="58">
        <f>'G9BDQ Input'!D19*'G9BDQ Input'!$D$7*'G9BDQ Input'!$H$7</f>
        <v>0</v>
      </c>
      <c r="F21" s="57"/>
      <c r="G21" s="59">
        <f t="shared" si="2"/>
        <v>1844682</v>
      </c>
      <c r="H21" s="57"/>
      <c r="I21" s="59">
        <f t="shared" si="0"/>
        <v>1844682</v>
      </c>
      <c r="J21" s="57"/>
    </row>
    <row r="22" spans="1:10">
      <c r="A22" s="48">
        <f t="shared" si="1"/>
        <v>8</v>
      </c>
      <c r="C22" s="55">
        <f>'G9BDQ Input'!B20</f>
        <v>44391</v>
      </c>
      <c r="D22" s="55"/>
      <c r="E22" s="58">
        <f>'G9BDQ Input'!D20*'G9BDQ Input'!$D$7*'G9BDQ Input'!$H$7</f>
        <v>0</v>
      </c>
      <c r="F22" s="57"/>
      <c r="G22" s="59">
        <f t="shared" si="2"/>
        <v>1844682</v>
      </c>
      <c r="H22" s="57"/>
      <c r="I22" s="59">
        <f t="shared" si="0"/>
        <v>1844682</v>
      </c>
      <c r="J22" s="57"/>
    </row>
    <row r="23" spans="1:10">
      <c r="A23" s="48">
        <f t="shared" si="1"/>
        <v>9</v>
      </c>
      <c r="C23" s="55">
        <f>'G9BDQ Input'!B21</f>
        <v>44421</v>
      </c>
      <c r="D23" s="55"/>
      <c r="E23" s="58">
        <f>'G9BDQ Input'!D21*'G9BDQ Input'!$D$7*'G9BDQ Input'!$H$7</f>
        <v>0</v>
      </c>
      <c r="F23" s="57"/>
      <c r="G23" s="59">
        <f t="shared" si="2"/>
        <v>1844682</v>
      </c>
      <c r="H23" s="57"/>
      <c r="I23" s="59">
        <f t="shared" si="0"/>
        <v>1844682</v>
      </c>
      <c r="J23" s="57"/>
    </row>
    <row r="24" spans="1:10">
      <c r="A24" s="48">
        <f t="shared" si="1"/>
        <v>10</v>
      </c>
      <c r="C24" s="55">
        <f>'G9BDQ Input'!B22</f>
        <v>44451</v>
      </c>
      <c r="D24" s="55"/>
      <c r="E24" s="58">
        <f>'G9BDQ Input'!D22*'G9BDQ Input'!$D$7*'G9BDQ Input'!$H$7</f>
        <v>0</v>
      </c>
      <c r="F24" s="57"/>
      <c r="G24" s="59">
        <f t="shared" si="2"/>
        <v>1844682</v>
      </c>
      <c r="H24" s="57"/>
      <c r="I24" s="59">
        <f t="shared" si="0"/>
        <v>1844682</v>
      </c>
      <c r="J24" s="57"/>
    </row>
    <row r="25" spans="1:10">
      <c r="A25" s="48">
        <f t="shared" si="1"/>
        <v>11</v>
      </c>
      <c r="C25" s="55">
        <f>'G9BDQ Input'!B23</f>
        <v>44481</v>
      </c>
      <c r="D25" s="55"/>
      <c r="E25" s="58">
        <f>'G9BDQ Input'!D23*'G9BDQ Input'!$D$7*'G9BDQ Input'!$H$7</f>
        <v>0</v>
      </c>
      <c r="F25" s="57"/>
      <c r="G25" s="59">
        <f t="shared" si="2"/>
        <v>1844682</v>
      </c>
      <c r="H25" s="57"/>
      <c r="I25" s="59">
        <f t="shared" si="0"/>
        <v>1844682</v>
      </c>
      <c r="J25" s="57"/>
    </row>
    <row r="26" spans="1:10">
      <c r="A26" s="48">
        <f t="shared" si="1"/>
        <v>12</v>
      </c>
      <c r="C26" s="55">
        <f>'G9BDQ Input'!B24</f>
        <v>44511</v>
      </c>
      <c r="D26" s="55"/>
      <c r="E26" s="58">
        <f>'G9BDQ Input'!D24*'G9BDQ Input'!$D$7*'G9BDQ Input'!$H$7</f>
        <v>0</v>
      </c>
      <c r="F26" s="57"/>
      <c r="G26" s="59">
        <f t="shared" si="2"/>
        <v>1844682</v>
      </c>
      <c r="H26" s="57"/>
      <c r="I26" s="59">
        <f t="shared" si="0"/>
        <v>1844682</v>
      </c>
      <c r="J26" s="57"/>
    </row>
    <row r="27" spans="1:10">
      <c r="A27" s="48">
        <f t="shared" si="1"/>
        <v>13</v>
      </c>
      <c r="C27" s="55">
        <f>'G9BDQ Input'!B25</f>
        <v>44541</v>
      </c>
      <c r="D27" s="55"/>
      <c r="E27" s="60">
        <f>'G9BDQ Input'!D25*'G9BDQ Input'!$D$7*'G9BDQ Input'!$H$7</f>
        <v>0</v>
      </c>
      <c r="F27" s="57"/>
      <c r="G27" s="61">
        <f t="shared" si="2"/>
        <v>1844682</v>
      </c>
      <c r="H27" s="57"/>
      <c r="I27" s="61">
        <f t="shared" si="0"/>
        <v>1844682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22136184</v>
      </c>
      <c r="H28" s="64"/>
      <c r="I28" s="63">
        <f>SUM(I16:I27)</f>
        <v>22136184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1844682</v>
      </c>
      <c r="H30" s="64"/>
      <c r="I30" s="66">
        <f>ROUND(+I28/12,2)</f>
        <v>1844682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1844682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F3D9-40D6-44A8-926E-0F7B932E2C5B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" customHeight="1">
      <c r="A3" s="119" t="str">
        <f>'G9BDQ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'G9BDQ Input'!F6</f>
        <v>SFS: SFS 60th St N 250Psig Upgrade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'G9BDQ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"&amp;'G9BDQ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'G9BDQ TotalWO'!C15</f>
        <v>44180</v>
      </c>
      <c r="D15" s="55"/>
      <c r="E15" s="56">
        <f>'G9BDQ TotalWO'!E15*'G9BDQ Input'!$H$13</f>
        <v>0</v>
      </c>
      <c r="F15" s="68"/>
      <c r="G15" s="56">
        <f>'G9BDQ TotalWO'!G15*'G9BDQ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'G9BDQ TotalWO'!C16</f>
        <v>44211</v>
      </c>
      <c r="D16" s="55"/>
      <c r="E16" s="58">
        <f>'G9BDQ TotalWO'!E16*'G9BDQ Input'!$H$13</f>
        <v>0</v>
      </c>
      <c r="F16" s="68"/>
      <c r="G16" s="58">
        <f>'G9BDQ TotalWO'!G16*'G9BDQ Input'!$H$13</f>
        <v>1376360</v>
      </c>
      <c r="H16" s="59"/>
      <c r="I16" s="58">
        <f t="shared" si="0"/>
        <v>1376360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'G9BDQ TotalWO'!E17*'G9BDQ Input'!$H$13</f>
        <v>0</v>
      </c>
      <c r="F17" s="68"/>
      <c r="G17" s="68">
        <f>'G9BDQ TotalWO'!G17*'G9BDQ Input'!$H$13</f>
        <v>1376360</v>
      </c>
      <c r="H17" s="59"/>
      <c r="I17" s="59">
        <f t="shared" si="0"/>
        <v>1376360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'G9BDQ TotalWO'!E18*'G9BDQ Input'!$H$13</f>
        <v>0</v>
      </c>
      <c r="F18" s="68"/>
      <c r="G18" s="68">
        <f>'G9BDQ TotalWO'!G18*'G9BDQ Input'!$H$13</f>
        <v>1376360</v>
      </c>
      <c r="H18" s="59"/>
      <c r="I18" s="59">
        <f t="shared" si="0"/>
        <v>1376360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'G9BDQ TotalWO'!E19*'G9BDQ Input'!$H$13</f>
        <v>0</v>
      </c>
      <c r="F19" s="68"/>
      <c r="G19" s="68">
        <f>'G9BDQ TotalWO'!G19*'G9BDQ Input'!$H$13</f>
        <v>1376360</v>
      </c>
      <c r="H19" s="59"/>
      <c r="I19" s="59">
        <f t="shared" si="0"/>
        <v>1376360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'G9BDQ TotalWO'!E20*'G9BDQ Input'!$H$13</f>
        <v>0</v>
      </c>
      <c r="F20" s="68"/>
      <c r="G20" s="68">
        <f>'G9BDQ TotalWO'!G20*'G9BDQ Input'!$H$13</f>
        <v>1376360</v>
      </c>
      <c r="H20" s="59"/>
      <c r="I20" s="59">
        <f t="shared" si="0"/>
        <v>1376360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'G9BDQ TotalWO'!E21*'G9BDQ Input'!$H$13</f>
        <v>0</v>
      </c>
      <c r="F21" s="68"/>
      <c r="G21" s="68">
        <f>'G9BDQ TotalWO'!G21*'G9BDQ Input'!$H$13</f>
        <v>1376360</v>
      </c>
      <c r="H21" s="59"/>
      <c r="I21" s="59">
        <f t="shared" si="0"/>
        <v>1376360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'G9BDQ TotalWO'!E22*'G9BDQ Input'!$H$13</f>
        <v>0</v>
      </c>
      <c r="F22" s="68"/>
      <c r="G22" s="68">
        <f>'G9BDQ TotalWO'!G22*'G9BDQ Input'!$H$13</f>
        <v>1376360</v>
      </c>
      <c r="H22" s="59"/>
      <c r="I22" s="59">
        <f t="shared" si="0"/>
        <v>1376360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'G9BDQ TotalWO'!E23*'G9BDQ Input'!$H$13</f>
        <v>0</v>
      </c>
      <c r="F23" s="68"/>
      <c r="G23" s="68">
        <f>'G9BDQ TotalWO'!G23*'G9BDQ Input'!$H$13</f>
        <v>1376360</v>
      </c>
      <c r="H23" s="59"/>
      <c r="I23" s="59">
        <f t="shared" si="0"/>
        <v>1376360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'G9BDQ TotalWO'!E24*'G9BDQ Input'!$H$13</f>
        <v>0</v>
      </c>
      <c r="F24" s="68"/>
      <c r="G24" s="68">
        <f>'G9BDQ TotalWO'!G24*'G9BDQ Input'!$H$13</f>
        <v>1376360</v>
      </c>
      <c r="H24" s="59"/>
      <c r="I24" s="59">
        <f t="shared" si="0"/>
        <v>1376360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'G9BDQ TotalWO'!E25*'G9BDQ Input'!$H$13</f>
        <v>0</v>
      </c>
      <c r="F25" s="68"/>
      <c r="G25" s="68">
        <f>'G9BDQ TotalWO'!G25*'G9BDQ Input'!$H$13</f>
        <v>1376360</v>
      </c>
      <c r="H25" s="59"/>
      <c r="I25" s="59">
        <f t="shared" si="0"/>
        <v>1376360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'G9BDQ TotalWO'!E26*'G9BDQ Input'!$H$13</f>
        <v>0</v>
      </c>
      <c r="F26" s="68"/>
      <c r="G26" s="68">
        <f>'G9BDQ TotalWO'!G26*'G9BDQ Input'!$H$13</f>
        <v>1376360</v>
      </c>
      <c r="H26" s="59"/>
      <c r="I26" s="59">
        <f t="shared" si="0"/>
        <v>1376360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'G9BDQ TotalWO'!E27*'G9BDQ Input'!$H$13</f>
        <v>0</v>
      </c>
      <c r="F27" s="68"/>
      <c r="G27" s="71">
        <f>'G9BDQ TotalWO'!G27*'G9BDQ Input'!$H$13</f>
        <v>1376360</v>
      </c>
      <c r="H27" s="59"/>
      <c r="I27" s="61">
        <f t="shared" si="0"/>
        <v>1376360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16516320</v>
      </c>
      <c r="H28" s="64"/>
      <c r="I28" s="63">
        <f>SUM(I16:I27)</f>
        <v>16516320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1376360</v>
      </c>
      <c r="H30" s="64"/>
      <c r="I30" s="66">
        <f>ROUND(+I28/12,2)</f>
        <v>1376360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1376360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361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SFS 60th St N 250Psig Upgrade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2530.0700000000002</v>
      </c>
      <c r="H53" s="64"/>
      <c r="I53" s="63">
        <f t="shared" ref="I53:I64" si="4">G53-E53</f>
        <v>2530.0700000000002</v>
      </c>
      <c r="K53" s="58"/>
      <c r="M53" s="17">
        <f>+ROUND(M67/12,2)</f>
        <v>371.92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2530.0700000000002</v>
      </c>
      <c r="H54" s="57"/>
      <c r="I54" s="59">
        <f t="shared" si="4"/>
        <v>2530.0700000000002</v>
      </c>
      <c r="M54" s="85">
        <f t="shared" ref="M54:M60" si="8">+M53</f>
        <v>371.92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2530.0700000000002</v>
      </c>
      <c r="H55" s="57"/>
      <c r="I55" s="59">
        <f t="shared" si="4"/>
        <v>2530.0700000000002</v>
      </c>
      <c r="M55" s="85">
        <f t="shared" si="8"/>
        <v>371.92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2530.0700000000002</v>
      </c>
      <c r="H56" s="57"/>
      <c r="I56" s="59">
        <f t="shared" si="4"/>
        <v>2530.0700000000002</v>
      </c>
      <c r="M56" s="85">
        <f t="shared" si="8"/>
        <v>371.92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2530.0700000000002</v>
      </c>
      <c r="H57" s="57"/>
      <c r="I57" s="59">
        <f t="shared" si="4"/>
        <v>2530.0700000000002</v>
      </c>
      <c r="M57" s="85">
        <f t="shared" si="8"/>
        <v>371.92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2530.0700000000002</v>
      </c>
      <c r="H58" s="57"/>
      <c r="I58" s="59">
        <f t="shared" si="4"/>
        <v>2530.0700000000002</v>
      </c>
      <c r="M58" s="85">
        <f t="shared" si="8"/>
        <v>371.92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2530.0700000000002</v>
      </c>
      <c r="H59" s="57"/>
      <c r="I59" s="59">
        <f t="shared" si="4"/>
        <v>2530.0700000000002</v>
      </c>
      <c r="M59" s="85">
        <f t="shared" si="8"/>
        <v>371.92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2530.0700000000002</v>
      </c>
      <c r="H60" s="57"/>
      <c r="I60" s="59">
        <f t="shared" si="4"/>
        <v>2530.0700000000002</v>
      </c>
      <c r="M60" s="85">
        <f t="shared" si="8"/>
        <v>371.92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2530.0700000000002</v>
      </c>
      <c r="H61" s="57"/>
      <c r="I61" s="59">
        <f t="shared" si="4"/>
        <v>2530.0700000000002</v>
      </c>
      <c r="M61" s="85">
        <f>+M60+0.01</f>
        <v>371.93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2530.0700000000002</v>
      </c>
      <c r="H62" s="57"/>
      <c r="I62" s="59">
        <f t="shared" si="4"/>
        <v>2530.0700000000002</v>
      </c>
      <c r="M62" s="85">
        <f>+M61</f>
        <v>371.93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2530.0700000000002</v>
      </c>
      <c r="H63" s="57"/>
      <c r="I63" s="59">
        <f t="shared" si="4"/>
        <v>2530.0700000000002</v>
      </c>
      <c r="M63" s="85">
        <f>+M62</f>
        <v>371.93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2530.0700000000002</v>
      </c>
      <c r="H64" s="57"/>
      <c r="I64" s="61">
        <f t="shared" si="4"/>
        <v>2530.0700000000002</v>
      </c>
      <c r="M64" s="61">
        <f>+M63</f>
        <v>371.93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30360.84</v>
      </c>
      <c r="H65" s="64"/>
      <c r="I65" s="63">
        <f>SUM(I53:I64)</f>
        <v>30360.84</v>
      </c>
      <c r="M65" s="63">
        <f>SUM(M53:M64)</f>
        <v>4463.08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30360.84</v>
      </c>
      <c r="K67" s="66">
        <f>ROUND(G16*K73,2)</f>
        <v>51613.5</v>
      </c>
      <c r="M67" s="66">
        <f>ROUND(+(K67-I67)*M73,2)</f>
        <v>4463.0600000000004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362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'G9BDQ Input'!J13</f>
        <v>2.2058823529411766E-2</v>
      </c>
      <c r="F73" s="76"/>
      <c r="G73" s="76">
        <f>E73/12</f>
        <v>1.8382352941176473E-3</v>
      </c>
      <c r="K73" s="86">
        <f>+'G9BDQ Input'!L13</f>
        <v>3.7499999999999999E-2</v>
      </c>
      <c r="M73" s="87">
        <f>+'G9BDQ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5.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SFS 60th St N 250Psig Upgrade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7" spans="1:13">
      <c r="A87" s="75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2530.0700000000002</v>
      </c>
      <c r="H93" s="57"/>
      <c r="I93" s="58">
        <f t="shared" si="9"/>
        <v>2530.0700000000002</v>
      </c>
      <c r="M93" s="58">
        <f>+M53</f>
        <v>371.92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5060.1400000000003</v>
      </c>
      <c r="H94" s="57"/>
      <c r="I94" s="59">
        <f t="shared" si="9"/>
        <v>5060.1400000000003</v>
      </c>
      <c r="M94" s="59">
        <f t="shared" ref="M94:M104" si="14">+M93+M54</f>
        <v>743.84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7590.2100000000009</v>
      </c>
      <c r="H95" s="57"/>
      <c r="I95" s="59">
        <f t="shared" si="9"/>
        <v>7590.2100000000009</v>
      </c>
      <c r="M95" s="59">
        <f t="shared" si="14"/>
        <v>1115.76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10120.280000000001</v>
      </c>
      <c r="H96" s="57"/>
      <c r="I96" s="59">
        <f t="shared" si="9"/>
        <v>10120.280000000001</v>
      </c>
      <c r="M96" s="59">
        <f t="shared" si="14"/>
        <v>1487.68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12650.35</v>
      </c>
      <c r="H97" s="57"/>
      <c r="I97" s="59">
        <f t="shared" si="9"/>
        <v>12650.35</v>
      </c>
      <c r="M97" s="59">
        <f t="shared" si="14"/>
        <v>1859.6000000000001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15180.42</v>
      </c>
      <c r="H98" s="57"/>
      <c r="I98" s="59">
        <f t="shared" si="9"/>
        <v>15180.42</v>
      </c>
      <c r="M98" s="59">
        <f t="shared" si="14"/>
        <v>2231.52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17710.490000000002</v>
      </c>
      <c r="H99" s="57"/>
      <c r="I99" s="59">
        <f t="shared" si="9"/>
        <v>17710.490000000002</v>
      </c>
      <c r="M99" s="59">
        <f t="shared" si="14"/>
        <v>2603.44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20240.560000000001</v>
      </c>
      <c r="H100" s="57"/>
      <c r="I100" s="59">
        <f t="shared" si="9"/>
        <v>20240.560000000001</v>
      </c>
      <c r="M100" s="59">
        <f t="shared" si="14"/>
        <v>2975.36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22770.63</v>
      </c>
      <c r="H101" s="57"/>
      <c r="I101" s="59">
        <f t="shared" si="9"/>
        <v>22770.63</v>
      </c>
      <c r="M101" s="59">
        <f t="shared" si="14"/>
        <v>3347.29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25300.7</v>
      </c>
      <c r="H102" s="57"/>
      <c r="I102" s="59">
        <f t="shared" si="9"/>
        <v>25300.7</v>
      </c>
      <c r="M102" s="59">
        <f t="shared" si="14"/>
        <v>3719.22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27830.77</v>
      </c>
      <c r="H103" s="57"/>
      <c r="I103" s="59">
        <f t="shared" si="9"/>
        <v>27830.77</v>
      </c>
      <c r="M103" s="59">
        <f t="shared" si="14"/>
        <v>4091.1499999999996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30360.84</v>
      </c>
      <c r="H104" s="57"/>
      <c r="I104" s="61">
        <f t="shared" si="9"/>
        <v>30360.84</v>
      </c>
      <c r="M104" s="61">
        <f t="shared" si="14"/>
        <v>4463.08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197345.46</v>
      </c>
      <c r="H105" s="64"/>
      <c r="I105" s="63">
        <f>SUM(I93:I104)</f>
        <v>197345.46</v>
      </c>
      <c r="M105" s="63">
        <f>SUM(M93:M104)</f>
        <v>29009.86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16445.46</v>
      </c>
      <c r="H107" s="64"/>
      <c r="I107" s="66">
        <f>ROUND(+I105/12,2)</f>
        <v>16445.46</v>
      </c>
      <c r="M107" s="66">
        <f>ROUND(+M105/12,2)</f>
        <v>2417.4899999999998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16445.46</v>
      </c>
      <c r="M110" s="78">
        <f>+M107</f>
        <v>2417.4899999999998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363</v>
      </c>
      <c r="M112" s="62" t="s">
        <v>364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84B3-B358-49ED-A5C3-2F575167A806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.75" customHeight="1">
      <c r="A3" s="119" t="str">
        <f>'G9BDQ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'G9BDQ Input'!F6</f>
        <v>SFS: SFS 60th St N 250Psig Upgrade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'G9BDQ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"&amp;'G9BDQ Input'!F14</f>
        <v>Acct 2.378.00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'G9BDQ TotalWO'!C15</f>
        <v>44180</v>
      </c>
      <c r="D15" s="55"/>
      <c r="E15" s="56">
        <f>'G9BDQ TotalWO'!E15*'G9BDQ Input'!$H$13</f>
        <v>0</v>
      </c>
      <c r="F15" s="68"/>
      <c r="G15" s="56">
        <f>'G9BDQ TotalWO'!G15*'G9BDQ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'G9BDQ TotalWO'!C16</f>
        <v>44211</v>
      </c>
      <c r="D16" s="55"/>
      <c r="E16" s="58">
        <f>'G9BDQ TotalWO'!E16*'G9BDQ Input'!$H$13</f>
        <v>0</v>
      </c>
      <c r="F16" s="68"/>
      <c r="G16" s="58">
        <f>'G9BDQ TotalWO'!G16*'G9BDQ Input'!$H$14</f>
        <v>468322.00000000006</v>
      </c>
      <c r="H16" s="59"/>
      <c r="I16" s="58">
        <f t="shared" si="0"/>
        <v>468322.00000000006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'G9BDQ TotalWO'!E17*'G9BDQ Input'!$H$13</f>
        <v>0</v>
      </c>
      <c r="F17" s="68"/>
      <c r="G17" s="68">
        <f>'G9BDQ TotalWO'!G17*'G9BDQ Input'!$H$14</f>
        <v>468322.00000000006</v>
      </c>
      <c r="H17" s="59"/>
      <c r="I17" s="59">
        <f t="shared" si="0"/>
        <v>468322.00000000006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'G9BDQ TotalWO'!E18*'G9BDQ Input'!$H$13</f>
        <v>0</v>
      </c>
      <c r="F18" s="68"/>
      <c r="G18" s="68">
        <f>'G9BDQ TotalWO'!G18*'G9BDQ Input'!$H$14</f>
        <v>468322.00000000006</v>
      </c>
      <c r="H18" s="59"/>
      <c r="I18" s="59">
        <f t="shared" si="0"/>
        <v>468322.00000000006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'G9BDQ TotalWO'!E19*'G9BDQ Input'!$H$13</f>
        <v>0</v>
      </c>
      <c r="F19" s="68"/>
      <c r="G19" s="68">
        <f>'G9BDQ TotalWO'!G19*'G9BDQ Input'!$H$14</f>
        <v>468322.00000000006</v>
      </c>
      <c r="H19" s="59"/>
      <c r="I19" s="59">
        <f t="shared" si="0"/>
        <v>468322.00000000006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'G9BDQ TotalWO'!E20*'G9BDQ Input'!$H$13</f>
        <v>0</v>
      </c>
      <c r="F20" s="68"/>
      <c r="G20" s="68">
        <f>'G9BDQ TotalWO'!G20*'G9BDQ Input'!$H$14</f>
        <v>468322.00000000006</v>
      </c>
      <c r="H20" s="59"/>
      <c r="I20" s="59">
        <f t="shared" si="0"/>
        <v>468322.00000000006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'G9BDQ TotalWO'!E21*'G9BDQ Input'!$H$13</f>
        <v>0</v>
      </c>
      <c r="F21" s="68"/>
      <c r="G21" s="68">
        <f>'G9BDQ TotalWO'!G21*'G9BDQ Input'!$H$14</f>
        <v>468322.00000000006</v>
      </c>
      <c r="H21" s="59"/>
      <c r="I21" s="59">
        <f t="shared" si="0"/>
        <v>468322.00000000006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'G9BDQ TotalWO'!E22*'G9BDQ Input'!$H$13</f>
        <v>0</v>
      </c>
      <c r="F22" s="68"/>
      <c r="G22" s="68">
        <f>'G9BDQ TotalWO'!G22*'G9BDQ Input'!$H$14</f>
        <v>468322.00000000006</v>
      </c>
      <c r="H22" s="59"/>
      <c r="I22" s="59">
        <f t="shared" si="0"/>
        <v>468322.00000000006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'G9BDQ TotalWO'!E23*'G9BDQ Input'!$H$13</f>
        <v>0</v>
      </c>
      <c r="F23" s="68"/>
      <c r="G23" s="68">
        <f>'G9BDQ TotalWO'!G23*'G9BDQ Input'!$H$14</f>
        <v>468322.00000000006</v>
      </c>
      <c r="H23" s="59"/>
      <c r="I23" s="59">
        <f t="shared" si="0"/>
        <v>468322.00000000006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'G9BDQ TotalWO'!E24*'G9BDQ Input'!$H$13</f>
        <v>0</v>
      </c>
      <c r="F24" s="68"/>
      <c r="G24" s="68">
        <f>'G9BDQ TotalWO'!G24*'G9BDQ Input'!$H$14</f>
        <v>468322.00000000006</v>
      </c>
      <c r="H24" s="59"/>
      <c r="I24" s="59">
        <f t="shared" si="0"/>
        <v>468322.00000000006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'G9BDQ TotalWO'!E25*'G9BDQ Input'!$H$13</f>
        <v>0</v>
      </c>
      <c r="F25" s="68"/>
      <c r="G25" s="68">
        <f>'G9BDQ TotalWO'!G25*'G9BDQ Input'!$H$14</f>
        <v>468322.00000000006</v>
      </c>
      <c r="H25" s="59"/>
      <c r="I25" s="59">
        <f t="shared" si="0"/>
        <v>468322.00000000006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'G9BDQ TotalWO'!E26*'G9BDQ Input'!$H$13</f>
        <v>0</v>
      </c>
      <c r="F26" s="68"/>
      <c r="G26" s="68">
        <f>'G9BDQ TotalWO'!G26*'G9BDQ Input'!$H$14</f>
        <v>468322.00000000006</v>
      </c>
      <c r="H26" s="59"/>
      <c r="I26" s="59">
        <f t="shared" si="0"/>
        <v>468322.00000000006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'G9BDQ TotalWO'!E27*'G9BDQ Input'!$H$13</f>
        <v>0</v>
      </c>
      <c r="F27" s="68"/>
      <c r="G27" s="71">
        <f>'G9BDQ TotalWO'!G27*'G9BDQ Input'!$H$14</f>
        <v>468322.00000000006</v>
      </c>
      <c r="H27" s="59"/>
      <c r="I27" s="61">
        <f t="shared" si="0"/>
        <v>468322.00000000006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5619864.0000000009</v>
      </c>
      <c r="H28" s="64"/>
      <c r="I28" s="63">
        <f>SUM(I16:I27)</f>
        <v>5619864.0000000009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468322</v>
      </c>
      <c r="H30" s="64"/>
      <c r="I30" s="66">
        <f>ROUND(+I28/12,2)</f>
        <v>468322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468322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361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4.7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SFS 60th St N 250Psig Upgrade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2.378.00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860.89</v>
      </c>
      <c r="H53" s="64"/>
      <c r="I53" s="63">
        <f t="shared" ref="I53:I64" si="4">G53-E53</f>
        <v>860.89</v>
      </c>
      <c r="K53" s="58"/>
      <c r="M53" s="17">
        <f>+ROUND(M67/12,2)</f>
        <v>126.55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860.89</v>
      </c>
      <c r="H54" s="57"/>
      <c r="I54" s="59">
        <f t="shared" si="4"/>
        <v>860.89</v>
      </c>
      <c r="M54" s="85">
        <f t="shared" ref="M54:M60" si="8">+M53</f>
        <v>126.55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860.89</v>
      </c>
      <c r="H55" s="57"/>
      <c r="I55" s="59">
        <f t="shared" si="4"/>
        <v>860.89</v>
      </c>
      <c r="M55" s="85">
        <f t="shared" si="8"/>
        <v>126.55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860.89</v>
      </c>
      <c r="H56" s="57"/>
      <c r="I56" s="59">
        <f t="shared" si="4"/>
        <v>860.89</v>
      </c>
      <c r="M56" s="85">
        <f t="shared" si="8"/>
        <v>126.55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860.89</v>
      </c>
      <c r="H57" s="57"/>
      <c r="I57" s="59">
        <f t="shared" si="4"/>
        <v>860.89</v>
      </c>
      <c r="M57" s="85">
        <f t="shared" si="8"/>
        <v>126.55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860.89</v>
      </c>
      <c r="H58" s="57"/>
      <c r="I58" s="59">
        <f t="shared" si="4"/>
        <v>860.89</v>
      </c>
      <c r="M58" s="85">
        <f t="shared" si="8"/>
        <v>126.55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860.89</v>
      </c>
      <c r="H59" s="57"/>
      <c r="I59" s="59">
        <f t="shared" si="4"/>
        <v>860.89</v>
      </c>
      <c r="M59" s="85">
        <f t="shared" si="8"/>
        <v>126.55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860.89</v>
      </c>
      <c r="H60" s="57"/>
      <c r="I60" s="59">
        <f t="shared" si="4"/>
        <v>860.89</v>
      </c>
      <c r="M60" s="85">
        <f t="shared" si="8"/>
        <v>126.55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860.89</v>
      </c>
      <c r="H61" s="57"/>
      <c r="I61" s="59">
        <f t="shared" si="4"/>
        <v>860.89</v>
      </c>
      <c r="M61" s="85">
        <f>+M60+0.01</f>
        <v>126.56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860.89</v>
      </c>
      <c r="H62" s="57"/>
      <c r="I62" s="59">
        <f t="shared" si="4"/>
        <v>860.89</v>
      </c>
      <c r="M62" s="85">
        <f>+M61</f>
        <v>126.56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860.89</v>
      </c>
      <c r="H63" s="57"/>
      <c r="I63" s="59">
        <f t="shared" si="4"/>
        <v>860.89</v>
      </c>
      <c r="M63" s="85">
        <f>+M62</f>
        <v>126.56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860.89</v>
      </c>
      <c r="H64" s="57"/>
      <c r="I64" s="61">
        <f t="shared" si="4"/>
        <v>860.89</v>
      </c>
      <c r="M64" s="61">
        <f>+M63</f>
        <v>126.56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10330.68</v>
      </c>
      <c r="H65" s="64"/>
      <c r="I65" s="63">
        <f>SUM(I53:I64)</f>
        <v>10330.68</v>
      </c>
      <c r="M65" s="63">
        <f>SUM(M53:M64)</f>
        <v>1518.6399999999996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10330.68</v>
      </c>
      <c r="K67" s="66">
        <f>ROUND(G16*K73,2)</f>
        <v>17562.080000000002</v>
      </c>
      <c r="M67" s="66">
        <f>ROUND(+(K67-I67)*M73,2)</f>
        <v>1518.59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362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2.378.00</v>
      </c>
      <c r="D73" s="75"/>
      <c r="E73" s="76">
        <f>'G9BDQ Input'!J13</f>
        <v>2.2058823529411766E-2</v>
      </c>
      <c r="F73" s="76"/>
      <c r="G73" s="76">
        <f>E73/12</f>
        <v>1.8382352941176473E-3</v>
      </c>
      <c r="K73" s="86">
        <f>+'G9BDQ Input'!L13</f>
        <v>3.7499999999999999E-2</v>
      </c>
      <c r="M73" s="87">
        <f>+'G9BDQ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6.2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SFS 60th St N 250Psig Upgrade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2.378.00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860.89</v>
      </c>
      <c r="H93" s="57"/>
      <c r="I93" s="58">
        <f t="shared" si="9"/>
        <v>860.89</v>
      </c>
      <c r="M93" s="58">
        <f>+M53</f>
        <v>126.55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1721.78</v>
      </c>
      <c r="H94" s="57"/>
      <c r="I94" s="59">
        <f t="shared" si="9"/>
        <v>1721.78</v>
      </c>
      <c r="M94" s="59">
        <f t="shared" ref="M94:M104" si="14">+M93+M54</f>
        <v>253.1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2582.67</v>
      </c>
      <c r="H95" s="57"/>
      <c r="I95" s="59">
        <f t="shared" si="9"/>
        <v>2582.67</v>
      </c>
      <c r="M95" s="59">
        <f t="shared" si="14"/>
        <v>379.65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3443.56</v>
      </c>
      <c r="H96" s="57"/>
      <c r="I96" s="59">
        <f t="shared" si="9"/>
        <v>3443.56</v>
      </c>
      <c r="M96" s="59">
        <f t="shared" si="14"/>
        <v>506.2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4304.45</v>
      </c>
      <c r="H97" s="57"/>
      <c r="I97" s="59">
        <f t="shared" si="9"/>
        <v>4304.45</v>
      </c>
      <c r="M97" s="59">
        <f t="shared" si="14"/>
        <v>632.75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5165.34</v>
      </c>
      <c r="H98" s="57"/>
      <c r="I98" s="59">
        <f t="shared" si="9"/>
        <v>5165.34</v>
      </c>
      <c r="M98" s="59">
        <f t="shared" si="14"/>
        <v>759.3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6026.2300000000005</v>
      </c>
      <c r="H99" s="57"/>
      <c r="I99" s="59">
        <f t="shared" si="9"/>
        <v>6026.2300000000005</v>
      </c>
      <c r="M99" s="59">
        <f t="shared" si="14"/>
        <v>885.84999999999991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6887.1200000000008</v>
      </c>
      <c r="H100" s="57"/>
      <c r="I100" s="59">
        <f t="shared" si="9"/>
        <v>6887.1200000000008</v>
      </c>
      <c r="M100" s="59">
        <f t="shared" si="14"/>
        <v>1012.3999999999999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7748.0100000000011</v>
      </c>
      <c r="H101" s="57"/>
      <c r="I101" s="59">
        <f t="shared" si="9"/>
        <v>7748.0100000000011</v>
      </c>
      <c r="M101" s="59">
        <f t="shared" si="14"/>
        <v>1138.9599999999998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8608.9000000000015</v>
      </c>
      <c r="H102" s="57"/>
      <c r="I102" s="59">
        <f t="shared" si="9"/>
        <v>8608.9000000000015</v>
      </c>
      <c r="M102" s="59">
        <f t="shared" si="14"/>
        <v>1265.5199999999998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9469.7900000000009</v>
      </c>
      <c r="H103" s="57"/>
      <c r="I103" s="59">
        <f t="shared" si="9"/>
        <v>9469.7900000000009</v>
      </c>
      <c r="M103" s="59">
        <f t="shared" si="14"/>
        <v>1392.0799999999997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10330.68</v>
      </c>
      <c r="H104" s="57"/>
      <c r="I104" s="61">
        <f t="shared" si="9"/>
        <v>10330.68</v>
      </c>
      <c r="M104" s="61">
        <f t="shared" si="14"/>
        <v>1518.6399999999996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67149.420000000013</v>
      </c>
      <c r="H105" s="64"/>
      <c r="I105" s="63">
        <f>SUM(I93:I104)</f>
        <v>67149.420000000013</v>
      </c>
      <c r="M105" s="63">
        <f>SUM(M93:M104)</f>
        <v>9870.9999999999982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5595.79</v>
      </c>
      <c r="H107" s="64"/>
      <c r="I107" s="66">
        <f>ROUND(+I105/12,2)</f>
        <v>5595.79</v>
      </c>
      <c r="M107" s="66">
        <f>ROUND(+M105/12,2)</f>
        <v>822.58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5595.79</v>
      </c>
      <c r="M110" s="78">
        <f>+M107</f>
        <v>822.58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363</v>
      </c>
      <c r="M112" s="62" t="s">
        <v>364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2.378.00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949C-3FC7-4768-962B-C979530435A5}">
  <dimension ref="A1:L73"/>
  <sheetViews>
    <sheetView view="pageLayout" zoomScaleNormal="100" workbookViewId="0">
      <selection sqref="A1:XFD1048576"/>
    </sheetView>
  </sheetViews>
  <sheetFormatPr defaultColWidth="9.140625" defaultRowHeight="11.25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2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</row>
    <row r="2" spans="1:12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</row>
    <row r="3" spans="1:12" ht="27" customHeight="1">
      <c r="A3" s="121" t="str">
        <f>'G9BDQ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</row>
    <row r="4" spans="1:12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</row>
    <row r="5" spans="1:12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</row>
    <row r="6" spans="1:12" ht="12.75">
      <c r="A6" s="121" t="str">
        <f>'G9BDQ Input'!F6</f>
        <v>SFS: SFS 60th St N 250Psig Upgrade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</row>
    <row r="9" spans="1:12">
      <c r="B9" s="81"/>
      <c r="D9" s="82"/>
    </row>
    <row r="10" spans="1:12">
      <c r="B10" s="81"/>
      <c r="D10" s="82"/>
    </row>
    <row r="13" spans="1:12">
      <c r="B13" s="81"/>
      <c r="D13" s="82"/>
    </row>
    <row r="14" spans="1:12">
      <c r="B14" s="81"/>
      <c r="D14" s="82"/>
    </row>
    <row r="15" spans="1:12">
      <c r="B15" s="81"/>
      <c r="D15" s="82"/>
    </row>
    <row r="16" spans="1:12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8" spans="1:12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2"/>
      <c r="L68" s="122"/>
    </row>
    <row r="69" spans="1:12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2"/>
      <c r="L69" s="122"/>
    </row>
    <row r="70" spans="1:12" ht="12.75">
      <c r="A70" s="123" t="str">
        <f>A3</f>
        <v>Pro-Forma Adjustment - System Reliability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2"/>
      <c r="L70" s="122"/>
    </row>
    <row r="71" spans="1:12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</row>
    <row r="72" spans="1:12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</row>
    <row r="73" spans="1:12" ht="12.75">
      <c r="A73" s="121" t="str">
        <f>A6</f>
        <v>SFS: SFS 60th St N 250Psig Upgrade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2"/>
    </row>
  </sheetData>
  <mergeCells count="12">
    <mergeCell ref="A1:L1"/>
    <mergeCell ref="A2:L2"/>
    <mergeCell ref="A3:L3"/>
    <mergeCell ref="A4:L4"/>
    <mergeCell ref="A5:L5"/>
    <mergeCell ref="A72:L72"/>
    <mergeCell ref="A73:L73"/>
    <mergeCell ref="A6:L6"/>
    <mergeCell ref="A68:L68"/>
    <mergeCell ref="A69:L69"/>
    <mergeCell ref="A70:L70"/>
    <mergeCell ref="A71:L71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64" max="11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E8DF-453B-4F4D-B108-9C210C417B7B}">
  <dimension ref="A1:N38"/>
  <sheetViews>
    <sheetView view="pageLayout" zoomScaleNormal="100" workbookViewId="0">
      <selection sqref="A1:XFD1048576"/>
    </sheetView>
  </sheetViews>
  <sheetFormatPr defaultColWidth="8" defaultRowHeight="11.25"/>
  <cols>
    <col min="1" max="1" width="4.140625" style="97" customWidth="1"/>
    <col min="2" max="2" width="13.7109375" style="97" customWidth="1"/>
    <col min="3" max="3" width="0.85546875" style="97" customWidth="1"/>
    <col min="4" max="4" width="11.85546875" style="97" customWidth="1"/>
    <col min="5" max="5" width="0.85546875" style="97" customWidth="1"/>
    <col min="6" max="6" width="10.140625" style="97" customWidth="1"/>
    <col min="7" max="7" width="0.85546875" style="97" customWidth="1"/>
    <col min="8" max="8" width="10.28515625" style="97" customWidth="1"/>
    <col min="9" max="9" width="0.85546875" style="97" customWidth="1"/>
    <col min="10" max="10" width="8" style="97"/>
    <col min="11" max="11" width="1.7109375" style="97" customWidth="1"/>
    <col min="12" max="12" width="8" style="97"/>
    <col min="13" max="13" width="1.7109375" style="97" customWidth="1"/>
    <col min="14" max="16384" width="8" style="97"/>
  </cols>
  <sheetData>
    <row r="1" spans="1:14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4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4" ht="26.25" customHeight="1">
      <c r="A3" s="115" t="str">
        <f>'WP C, pg 1'!A5:H5</f>
        <v>Pro-Forma Adjustment - System Reliability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4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4">
      <c r="B5" s="116"/>
      <c r="C5" s="117"/>
      <c r="D5" s="117"/>
      <c r="F5" s="126"/>
      <c r="G5" s="126"/>
      <c r="H5" s="126"/>
    </row>
    <row r="6" spans="1:14">
      <c r="B6" s="33" t="s">
        <v>80</v>
      </c>
      <c r="D6" s="91" t="s">
        <v>365</v>
      </c>
      <c r="E6" s="34"/>
      <c r="F6" s="127" t="s">
        <v>366</v>
      </c>
      <c r="G6" s="128"/>
      <c r="H6" s="128"/>
      <c r="I6" s="128"/>
      <c r="J6" s="128"/>
    </row>
    <row r="7" spans="1:14">
      <c r="B7" s="34" t="s">
        <v>83</v>
      </c>
      <c r="D7" s="103">
        <v>1</v>
      </c>
      <c r="F7" s="34" t="s">
        <v>84</v>
      </c>
      <c r="H7" s="103">
        <v>1</v>
      </c>
    </row>
    <row r="8" spans="1:14">
      <c r="L8" s="36" t="s">
        <v>85</v>
      </c>
      <c r="N8" s="36" t="s">
        <v>71</v>
      </c>
    </row>
    <row r="9" spans="1:14">
      <c r="A9" s="97" t="s">
        <v>1</v>
      </c>
      <c r="F9" s="35" t="s">
        <v>86</v>
      </c>
      <c r="G9" s="35"/>
      <c r="H9" s="35"/>
      <c r="J9" s="36" t="s">
        <v>74</v>
      </c>
      <c r="L9" s="36" t="s">
        <v>74</v>
      </c>
      <c r="N9" s="36" t="s">
        <v>87</v>
      </c>
    </row>
    <row r="10" spans="1:14">
      <c r="A10" s="95" t="s">
        <v>2</v>
      </c>
      <c r="B10" s="104" t="s">
        <v>88</v>
      </c>
      <c r="D10" s="37" t="s">
        <v>89</v>
      </c>
      <c r="E10" s="38"/>
      <c r="F10" s="37" t="s">
        <v>90</v>
      </c>
      <c r="H10" s="37" t="s">
        <v>91</v>
      </c>
      <c r="J10" s="37" t="s">
        <v>92</v>
      </c>
      <c r="L10" s="37" t="s">
        <v>92</v>
      </c>
      <c r="N10" s="37" t="s">
        <v>93</v>
      </c>
    </row>
    <row r="11" spans="1:14">
      <c r="B11" s="102" t="s">
        <v>6</v>
      </c>
      <c r="D11" s="36" t="s">
        <v>7</v>
      </c>
      <c r="E11" s="38"/>
      <c r="F11" s="36" t="s">
        <v>8</v>
      </c>
      <c r="H11" s="36" t="s">
        <v>43</v>
      </c>
      <c r="J11" s="36" t="s">
        <v>44</v>
      </c>
      <c r="L11" s="36" t="s">
        <v>45</v>
      </c>
      <c r="N11" s="36" t="s">
        <v>46</v>
      </c>
    </row>
    <row r="12" spans="1:14">
      <c r="B12" s="105"/>
      <c r="D12" s="36"/>
      <c r="E12" s="38"/>
      <c r="F12" s="36"/>
      <c r="H12" s="36"/>
      <c r="J12" s="36"/>
    </row>
    <row r="13" spans="1:14">
      <c r="A13" s="36">
        <v>1</v>
      </c>
      <c r="B13" s="39">
        <v>44180</v>
      </c>
      <c r="D13" s="43">
        <v>0</v>
      </c>
      <c r="E13" s="38"/>
      <c r="F13" s="36" t="s">
        <v>222</v>
      </c>
      <c r="H13" s="5">
        <v>1</v>
      </c>
      <c r="J13" s="42">
        <f>1.5/55</f>
        <v>2.7272727272727271E-2</v>
      </c>
      <c r="L13" s="42">
        <v>3.7499999999999999E-2</v>
      </c>
      <c r="N13" s="106">
        <v>0.21</v>
      </c>
    </row>
    <row r="14" spans="1:14">
      <c r="A14" s="36">
        <v>2</v>
      </c>
      <c r="B14" s="40">
        <v>44211</v>
      </c>
      <c r="D14" s="43">
        <v>0</v>
      </c>
      <c r="E14" s="38"/>
      <c r="F14" s="36" t="s">
        <v>95</v>
      </c>
      <c r="H14" s="5">
        <v>0</v>
      </c>
      <c r="J14" s="42">
        <v>0</v>
      </c>
    </row>
    <row r="15" spans="1:14">
      <c r="A15" s="36">
        <v>3</v>
      </c>
      <c r="B15" s="40">
        <f t="shared" ref="B15:B25" si="0">B14+30</f>
        <v>44241</v>
      </c>
      <c r="D15" s="43">
        <v>0</v>
      </c>
      <c r="E15" s="38"/>
      <c r="F15" s="36" t="s">
        <v>95</v>
      </c>
      <c r="H15" s="5">
        <v>0</v>
      </c>
      <c r="J15" s="42">
        <v>0</v>
      </c>
    </row>
    <row r="16" spans="1:14">
      <c r="A16" s="36">
        <v>4</v>
      </c>
      <c r="B16" s="40">
        <f t="shared" si="0"/>
        <v>44271</v>
      </c>
      <c r="D16" s="43">
        <v>0</v>
      </c>
      <c r="E16" s="38"/>
      <c r="F16" s="36" t="s">
        <v>95</v>
      </c>
      <c r="H16" s="5">
        <v>0</v>
      </c>
      <c r="J16" s="42">
        <v>0</v>
      </c>
    </row>
    <row r="17" spans="1:10">
      <c r="A17" s="36">
        <v>5</v>
      </c>
      <c r="B17" s="40">
        <f t="shared" si="0"/>
        <v>44301</v>
      </c>
      <c r="D17" s="43">
        <v>0</v>
      </c>
      <c r="E17" s="38"/>
      <c r="F17" s="36" t="s">
        <v>95</v>
      </c>
      <c r="H17" s="5">
        <v>0</v>
      </c>
      <c r="J17" s="42">
        <v>0</v>
      </c>
    </row>
    <row r="18" spans="1:10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10</v>
      </c>
      <c r="J18" s="42"/>
    </row>
    <row r="19" spans="1:10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10</v>
      </c>
      <c r="J19" s="42"/>
    </row>
    <row r="20" spans="1:10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10</v>
      </c>
      <c r="J20" s="42"/>
    </row>
    <row r="21" spans="1:10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10</v>
      </c>
      <c r="J21" s="42"/>
    </row>
    <row r="22" spans="1:10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10</v>
      </c>
      <c r="J22" s="42"/>
    </row>
    <row r="23" spans="1:10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10</v>
      </c>
      <c r="J23" s="42"/>
    </row>
    <row r="24" spans="1:10">
      <c r="A24" s="36">
        <v>12</v>
      </c>
      <c r="B24" s="40">
        <f t="shared" si="0"/>
        <v>44511</v>
      </c>
      <c r="D24" s="43">
        <v>0</v>
      </c>
      <c r="E24" s="38"/>
      <c r="H24" s="41" t="s">
        <v>10</v>
      </c>
      <c r="J24" s="42"/>
    </row>
    <row r="25" spans="1:10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>
      <c r="A26" s="36">
        <v>14</v>
      </c>
      <c r="D26" s="43"/>
      <c r="E26" s="38"/>
      <c r="J26" s="42"/>
    </row>
    <row r="27" spans="1:10">
      <c r="A27" s="36">
        <v>15</v>
      </c>
      <c r="B27" s="34" t="s">
        <v>96</v>
      </c>
      <c r="D27" s="107">
        <v>45291</v>
      </c>
    </row>
    <row r="28" spans="1:10">
      <c r="A28" s="36">
        <v>16</v>
      </c>
      <c r="B28" s="34" t="s">
        <v>97</v>
      </c>
      <c r="D28" s="108">
        <v>529996</v>
      </c>
    </row>
    <row r="30" spans="1:10">
      <c r="B30" s="44" t="s">
        <v>98</v>
      </c>
    </row>
    <row r="31" spans="1:10">
      <c r="B31" s="44" t="s">
        <v>99</v>
      </c>
    </row>
    <row r="32" spans="1:10">
      <c r="B32" s="44" t="s">
        <v>367</v>
      </c>
    </row>
    <row r="33" spans="2:2">
      <c r="B33" s="44" t="s">
        <v>368</v>
      </c>
    </row>
    <row r="34" spans="2:2">
      <c r="B34" s="44" t="s">
        <v>369</v>
      </c>
    </row>
    <row r="35" spans="2:2">
      <c r="B35" s="44" t="s">
        <v>370</v>
      </c>
    </row>
    <row r="36" spans="2:2">
      <c r="B36" s="44" t="s">
        <v>371</v>
      </c>
    </row>
    <row r="37" spans="2:2">
      <c r="B37" s="97" t="s">
        <v>105</v>
      </c>
    </row>
    <row r="38" spans="2:2">
      <c r="B38" s="97" t="s">
        <v>106</v>
      </c>
    </row>
  </sheetData>
  <mergeCells count="7">
    <mergeCell ref="F6:J6"/>
    <mergeCell ref="A1:J1"/>
    <mergeCell ref="A2:J2"/>
    <mergeCell ref="A3:J3"/>
    <mergeCell ref="A4:J4"/>
    <mergeCell ref="B5:D5"/>
    <mergeCell ref="F5:H5"/>
  </mergeCells>
  <pageMargins left="0.75" right="0.75" top="1" bottom="1" header="0.5" footer="0.5"/>
  <pageSetup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3F7C-C72D-4879-B998-97ECC364D264}">
  <sheetPr syncVertical="1" syncRef="A1" transitionEvaluation="1" transitionEntry="1"/>
  <dimension ref="A1:J433"/>
  <sheetViews>
    <sheetView view="pageLayout" zoomScaleNormal="100" workbookViewId="0">
      <selection sqref="A1:XFD1048576"/>
    </sheetView>
  </sheetViews>
  <sheetFormatPr defaultColWidth="11" defaultRowHeight="11.25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>
      <c r="A1" s="45"/>
      <c r="B1" s="45"/>
      <c r="C1" s="46"/>
      <c r="D1" s="46"/>
      <c r="E1" s="46"/>
      <c r="F1" s="46"/>
      <c r="G1" s="46"/>
      <c r="H1" s="46"/>
      <c r="I1" s="46"/>
      <c r="J1" s="47" t="s">
        <v>10</v>
      </c>
    </row>
    <row r="2" spans="1:10">
      <c r="A2" s="45"/>
      <c r="B2" s="45"/>
      <c r="C2" s="46"/>
      <c r="D2" s="46"/>
      <c r="E2" s="46"/>
      <c r="F2" s="46"/>
      <c r="G2" s="46"/>
      <c r="H2" s="46"/>
      <c r="I2" s="46"/>
      <c r="J2" s="47" t="s">
        <v>10</v>
      </c>
    </row>
    <row r="3" spans="1:10" ht="27" customHeight="1">
      <c r="A3" s="49" t="str">
        <f>'G9BDL Input'!A3:J3</f>
        <v>Pro-Forma Adjustment - System Reliability</v>
      </c>
      <c r="B3" s="45"/>
      <c r="C3" s="46"/>
      <c r="D3" s="46"/>
      <c r="E3" s="46"/>
      <c r="F3" s="46"/>
      <c r="G3" s="46"/>
      <c r="H3" s="46"/>
      <c r="I3" s="46"/>
      <c r="J3" s="47" t="s">
        <v>10</v>
      </c>
    </row>
    <row r="4" spans="1:10">
      <c r="A4" s="118"/>
      <c r="B4" s="118"/>
      <c r="C4" s="118"/>
      <c r="D4" s="118"/>
      <c r="E4" s="118"/>
      <c r="F4" s="118"/>
      <c r="G4" s="118"/>
      <c r="H4" s="118"/>
      <c r="I4" s="118"/>
      <c r="J4" s="47"/>
    </row>
    <row r="5" spans="1:10">
      <c r="A5" s="49"/>
      <c r="B5" s="49"/>
      <c r="C5" s="47"/>
      <c r="D5" s="47"/>
      <c r="E5" s="47"/>
      <c r="F5" s="47"/>
      <c r="G5" s="47"/>
      <c r="H5" s="47"/>
      <c r="I5" s="47"/>
      <c r="J5" s="47"/>
    </row>
    <row r="6" spans="1:10">
      <c r="A6" s="119" t="str">
        <f>'G9BDL Input'!F6</f>
        <v>2023 Odorizer Replacment - SD</v>
      </c>
      <c r="B6" s="119"/>
      <c r="C6" s="119"/>
      <c r="D6" s="119"/>
      <c r="E6" s="119"/>
      <c r="F6" s="119"/>
      <c r="G6" s="119"/>
      <c r="H6" s="119"/>
      <c r="I6" s="119"/>
      <c r="J6" s="47"/>
    </row>
    <row r="7" spans="1:10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>
      <c r="A8" s="49" t="s">
        <v>107</v>
      </c>
      <c r="B8" s="49"/>
      <c r="C8" s="47"/>
      <c r="D8" s="47"/>
      <c r="E8" s="47"/>
      <c r="F8" s="47"/>
      <c r="G8" s="47"/>
      <c r="H8" s="47"/>
      <c r="I8" s="47"/>
      <c r="J8" s="47" t="s">
        <v>10</v>
      </c>
    </row>
    <row r="9" spans="1:10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  <c r="J9" s="47" t="s">
        <v>10</v>
      </c>
    </row>
    <row r="11" spans="1:10" ht="12" thickBot="1">
      <c r="A11" s="75" t="s">
        <v>108</v>
      </c>
      <c r="E11" s="50" t="s">
        <v>109</v>
      </c>
      <c r="F11" s="51"/>
      <c r="G11" s="51"/>
      <c r="H11" s="51"/>
      <c r="I11" s="51"/>
    </row>
    <row r="12" spans="1:10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0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0">
      <c r="A14" s="54"/>
      <c r="B14" s="53"/>
      <c r="C14" s="54"/>
      <c r="D14" s="53"/>
      <c r="E14" s="54"/>
      <c r="F14" s="53"/>
      <c r="G14" s="54"/>
      <c r="H14" s="53"/>
      <c r="I14" s="54"/>
    </row>
    <row r="15" spans="1:10">
      <c r="A15" s="48">
        <v>1</v>
      </c>
      <c r="C15" s="55">
        <f>'G9BDL Input'!B13</f>
        <v>44180</v>
      </c>
      <c r="D15" s="55"/>
      <c r="E15" s="56">
        <f>'G9BDL Input'!D13*'G9BDL Input'!$D$7*'G9BDL Input'!$H$7</f>
        <v>0</v>
      </c>
      <c r="F15" s="57"/>
      <c r="G15" s="56">
        <f>'G9BDL Input'!D27*'G9BDL Input'!D6*'G9BDL Input'!H6</f>
        <v>0</v>
      </c>
      <c r="H15" s="57"/>
      <c r="I15" s="56">
        <f t="shared" ref="I15:I27" si="0">G15-E15</f>
        <v>0</v>
      </c>
    </row>
    <row r="16" spans="1:10">
      <c r="A16" s="48">
        <f t="shared" ref="A16:A38" si="1">1+A15</f>
        <v>2</v>
      </c>
      <c r="C16" s="55">
        <f>'G9BDL Input'!B14</f>
        <v>44211</v>
      </c>
      <c r="D16" s="55"/>
      <c r="E16" s="58">
        <f>'G9BDL Input'!D14*'G9BDL Input'!$D$7*'G9BDL Input'!$H$7</f>
        <v>0</v>
      </c>
      <c r="F16" s="57"/>
      <c r="G16" s="58">
        <f>'G9BDL Input'!D28*'G9BDL Input'!D7*'G9BDL Input'!H7</f>
        <v>529996</v>
      </c>
      <c r="H16" s="57"/>
      <c r="I16" s="58">
        <f t="shared" si="0"/>
        <v>529996</v>
      </c>
    </row>
    <row r="17" spans="1:10">
      <c r="A17" s="48">
        <f t="shared" si="1"/>
        <v>3</v>
      </c>
      <c r="C17" s="55">
        <f>'G9BDL Input'!B15</f>
        <v>44241</v>
      </c>
      <c r="D17" s="55"/>
      <c r="E17" s="58">
        <f>'G9BDL Input'!D15*'G9BDL Input'!$D$7*'G9BDL Input'!$H$7</f>
        <v>0</v>
      </c>
      <c r="F17" s="57"/>
      <c r="G17" s="59">
        <f t="shared" ref="G17:G27" si="2">$G$16</f>
        <v>529996</v>
      </c>
      <c r="H17" s="57"/>
      <c r="I17" s="59">
        <f t="shared" si="0"/>
        <v>529996</v>
      </c>
      <c r="J17" s="57"/>
    </row>
    <row r="18" spans="1:10">
      <c r="A18" s="48">
        <f t="shared" si="1"/>
        <v>4</v>
      </c>
      <c r="C18" s="55">
        <f>'G9BDL Input'!B16</f>
        <v>44271</v>
      </c>
      <c r="D18" s="55"/>
      <c r="E18" s="58">
        <f>'G9BDL Input'!D16*'G9BDL Input'!$D$7*'G9BDL Input'!$H$7</f>
        <v>0</v>
      </c>
      <c r="F18" s="57"/>
      <c r="G18" s="59">
        <f t="shared" si="2"/>
        <v>529996</v>
      </c>
      <c r="H18" s="57"/>
      <c r="I18" s="59">
        <f t="shared" si="0"/>
        <v>529996</v>
      </c>
      <c r="J18" s="57"/>
    </row>
    <row r="19" spans="1:10">
      <c r="A19" s="48">
        <f t="shared" si="1"/>
        <v>5</v>
      </c>
      <c r="C19" s="55">
        <f>'G9BDL Input'!B17</f>
        <v>44301</v>
      </c>
      <c r="D19" s="55"/>
      <c r="E19" s="58">
        <f>'G9BDL Input'!D17*'G9BDL Input'!$D$7*'G9BDL Input'!$H$7</f>
        <v>0</v>
      </c>
      <c r="F19" s="57"/>
      <c r="G19" s="59">
        <f t="shared" si="2"/>
        <v>529996</v>
      </c>
      <c r="H19" s="57"/>
      <c r="I19" s="59">
        <f t="shared" si="0"/>
        <v>529996</v>
      </c>
      <c r="J19" s="57"/>
    </row>
    <row r="20" spans="1:10">
      <c r="A20" s="48">
        <f t="shared" si="1"/>
        <v>6</v>
      </c>
      <c r="C20" s="55">
        <f>'G9BDL Input'!B18</f>
        <v>44331</v>
      </c>
      <c r="D20" s="55"/>
      <c r="E20" s="58">
        <f>'G9BDL Input'!D18*'G9BDL Input'!$D$7*'G9BDL Input'!$H$7</f>
        <v>0</v>
      </c>
      <c r="F20" s="57"/>
      <c r="G20" s="59">
        <f t="shared" si="2"/>
        <v>529996</v>
      </c>
      <c r="H20" s="57"/>
      <c r="I20" s="59">
        <f t="shared" si="0"/>
        <v>529996</v>
      </c>
      <c r="J20" s="57"/>
    </row>
    <row r="21" spans="1:10">
      <c r="A21" s="48">
        <f t="shared" si="1"/>
        <v>7</v>
      </c>
      <c r="C21" s="55">
        <f>'G9BDL Input'!B19</f>
        <v>44361</v>
      </c>
      <c r="D21" s="55"/>
      <c r="E21" s="58">
        <f>'G9BDL Input'!D19*'G9BDL Input'!$D$7*'G9BDL Input'!$H$7</f>
        <v>0</v>
      </c>
      <c r="F21" s="57"/>
      <c r="G21" s="59">
        <f t="shared" si="2"/>
        <v>529996</v>
      </c>
      <c r="H21" s="57"/>
      <c r="I21" s="59">
        <f t="shared" si="0"/>
        <v>529996</v>
      </c>
      <c r="J21" s="57"/>
    </row>
    <row r="22" spans="1:10">
      <c r="A22" s="48">
        <f t="shared" si="1"/>
        <v>8</v>
      </c>
      <c r="C22" s="55">
        <f>'G9BDL Input'!B20</f>
        <v>44391</v>
      </c>
      <c r="D22" s="55"/>
      <c r="E22" s="58">
        <f>'G9BDL Input'!D20*'G9BDL Input'!$D$7*'G9BDL Input'!$H$7</f>
        <v>0</v>
      </c>
      <c r="F22" s="57"/>
      <c r="G22" s="59">
        <f t="shared" si="2"/>
        <v>529996</v>
      </c>
      <c r="H22" s="57"/>
      <c r="I22" s="59">
        <f t="shared" si="0"/>
        <v>529996</v>
      </c>
      <c r="J22" s="57"/>
    </row>
    <row r="23" spans="1:10">
      <c r="A23" s="48">
        <f t="shared" si="1"/>
        <v>9</v>
      </c>
      <c r="C23" s="55">
        <f>'G9BDL Input'!B21</f>
        <v>44421</v>
      </c>
      <c r="D23" s="55"/>
      <c r="E23" s="58">
        <f>'G9BDL Input'!D21*'G9BDL Input'!$D$7*'G9BDL Input'!$H$7</f>
        <v>0</v>
      </c>
      <c r="F23" s="57"/>
      <c r="G23" s="59">
        <f t="shared" si="2"/>
        <v>529996</v>
      </c>
      <c r="H23" s="57"/>
      <c r="I23" s="59">
        <f t="shared" si="0"/>
        <v>529996</v>
      </c>
      <c r="J23" s="57"/>
    </row>
    <row r="24" spans="1:10">
      <c r="A24" s="48">
        <f t="shared" si="1"/>
        <v>10</v>
      </c>
      <c r="C24" s="55">
        <f>'G9BDL Input'!B22</f>
        <v>44451</v>
      </c>
      <c r="D24" s="55"/>
      <c r="E24" s="58">
        <f>'G9BDL Input'!D22*'G9BDL Input'!$D$7*'G9BDL Input'!$H$7</f>
        <v>0</v>
      </c>
      <c r="F24" s="57"/>
      <c r="G24" s="59">
        <f t="shared" si="2"/>
        <v>529996</v>
      </c>
      <c r="H24" s="57"/>
      <c r="I24" s="59">
        <f t="shared" si="0"/>
        <v>529996</v>
      </c>
      <c r="J24" s="57"/>
    </row>
    <row r="25" spans="1:10">
      <c r="A25" s="48">
        <f t="shared" si="1"/>
        <v>11</v>
      </c>
      <c r="C25" s="55">
        <f>'G9BDL Input'!B23</f>
        <v>44481</v>
      </c>
      <c r="D25" s="55"/>
      <c r="E25" s="58">
        <f>'G9BDL Input'!D23*'G9BDL Input'!$D$7*'G9BDL Input'!$H$7</f>
        <v>0</v>
      </c>
      <c r="F25" s="57"/>
      <c r="G25" s="59">
        <f t="shared" si="2"/>
        <v>529996</v>
      </c>
      <c r="H25" s="57"/>
      <c r="I25" s="59">
        <f t="shared" si="0"/>
        <v>529996</v>
      </c>
      <c r="J25" s="57"/>
    </row>
    <row r="26" spans="1:10">
      <c r="A26" s="48">
        <f t="shared" si="1"/>
        <v>12</v>
      </c>
      <c r="C26" s="55">
        <f>'G9BDL Input'!B24</f>
        <v>44511</v>
      </c>
      <c r="D26" s="55"/>
      <c r="E26" s="58">
        <f>'G9BDL Input'!D24*'G9BDL Input'!$D$7*'G9BDL Input'!$H$7</f>
        <v>0</v>
      </c>
      <c r="F26" s="57"/>
      <c r="G26" s="59">
        <f t="shared" si="2"/>
        <v>529996</v>
      </c>
      <c r="H26" s="57"/>
      <c r="I26" s="59">
        <f t="shared" si="0"/>
        <v>529996</v>
      </c>
      <c r="J26" s="57"/>
    </row>
    <row r="27" spans="1:10">
      <c r="A27" s="48">
        <f t="shared" si="1"/>
        <v>13</v>
      </c>
      <c r="C27" s="55">
        <f>'G9BDL Input'!B25</f>
        <v>44541</v>
      </c>
      <c r="D27" s="55"/>
      <c r="E27" s="60">
        <f>'G9BDL Input'!D25*'G9BDL Input'!$D$7*'G9BDL Input'!$H$7</f>
        <v>0</v>
      </c>
      <c r="F27" s="57"/>
      <c r="G27" s="61">
        <f t="shared" si="2"/>
        <v>529996</v>
      </c>
      <c r="H27" s="57"/>
      <c r="I27" s="61">
        <f t="shared" si="0"/>
        <v>529996</v>
      </c>
      <c r="J27" s="57"/>
    </row>
    <row r="28" spans="1:10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6359952</v>
      </c>
      <c r="H28" s="64"/>
      <c r="I28" s="63">
        <f>SUM(I16:I27)</f>
        <v>6359952</v>
      </c>
      <c r="J28" s="57"/>
    </row>
    <row r="29" spans="1:10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529996</v>
      </c>
      <c r="H30" s="64"/>
      <c r="I30" s="66">
        <f>ROUND(+I28/12,2)</f>
        <v>529996</v>
      </c>
      <c r="J30" s="64"/>
    </row>
    <row r="31" spans="1:10" ht="12" thickTop="1">
      <c r="A31" s="48">
        <f t="shared" si="1"/>
        <v>17</v>
      </c>
      <c r="J31" s="57"/>
    </row>
    <row r="32" spans="1:10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  <c r="J32" s="57"/>
    </row>
    <row r="33" spans="1:10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529996</v>
      </c>
      <c r="J33" s="57"/>
    </row>
    <row r="34" spans="1:10" ht="12" thickTop="1">
      <c r="A34" s="48">
        <f t="shared" si="1"/>
        <v>20</v>
      </c>
      <c r="J34" s="57"/>
    </row>
    <row r="35" spans="1:10">
      <c r="A35" s="48">
        <f t="shared" si="1"/>
        <v>21</v>
      </c>
      <c r="J35" s="57"/>
    </row>
    <row r="36" spans="1:10">
      <c r="A36" s="48">
        <f t="shared" si="1"/>
        <v>22</v>
      </c>
      <c r="J36" s="57"/>
    </row>
    <row r="37" spans="1:10">
      <c r="A37" s="48">
        <f t="shared" si="1"/>
        <v>23</v>
      </c>
      <c r="J37" s="57"/>
    </row>
    <row r="38" spans="1:10">
      <c r="A38" s="48">
        <f t="shared" si="1"/>
        <v>24</v>
      </c>
      <c r="J38" s="57"/>
    </row>
    <row r="39" spans="1:10">
      <c r="J39" s="57"/>
    </row>
    <row r="40" spans="1:10">
      <c r="J40" s="57"/>
    </row>
    <row r="41" spans="1:10">
      <c r="J41" s="57"/>
    </row>
    <row r="42" spans="1:10">
      <c r="J42" s="57"/>
    </row>
    <row r="43" spans="1:10">
      <c r="J43" s="57"/>
    </row>
    <row r="44" spans="1:10">
      <c r="J44" s="57"/>
    </row>
    <row r="45" spans="1:10">
      <c r="J45" s="57"/>
    </row>
    <row r="46" spans="1:10">
      <c r="J46" s="57"/>
    </row>
    <row r="47" spans="1:10">
      <c r="J47" s="57"/>
    </row>
    <row r="48" spans="1:10">
      <c r="J48" s="57"/>
    </row>
    <row r="49" spans="10:10">
      <c r="J49" s="57"/>
    </row>
    <row r="50" spans="10:10">
      <c r="J50" s="57"/>
    </row>
    <row r="51" spans="10:10">
      <c r="J51" s="57"/>
    </row>
    <row r="52" spans="10:10">
      <c r="J52" s="57"/>
    </row>
    <row r="68" spans="10:10">
      <c r="J68" s="47"/>
    </row>
    <row r="69" spans="10:10">
      <c r="J69" s="47"/>
    </row>
    <row r="70" spans="10:10">
      <c r="J70" s="47"/>
    </row>
    <row r="71" spans="10:10">
      <c r="J71" s="47"/>
    </row>
    <row r="72" spans="10:10">
      <c r="J72" s="47"/>
    </row>
    <row r="80" spans="10:10">
      <c r="J80" s="64"/>
    </row>
    <row r="81" spans="10:10">
      <c r="J81" s="57"/>
    </row>
    <row r="82" spans="10:10">
      <c r="J82" s="57"/>
    </row>
    <row r="83" spans="10:10">
      <c r="J83" s="57"/>
    </row>
    <row r="84" spans="10:10">
      <c r="J84" s="57"/>
    </row>
    <row r="85" spans="10:10">
      <c r="J85" s="57"/>
    </row>
    <row r="86" spans="10:10">
      <c r="J86" s="57"/>
    </row>
    <row r="87" spans="10:10">
      <c r="J87" s="57"/>
    </row>
    <row r="88" spans="10:10">
      <c r="J88" s="57"/>
    </row>
    <row r="89" spans="10:10">
      <c r="J89" s="57"/>
    </row>
    <row r="90" spans="10:10">
      <c r="J90" s="57"/>
    </row>
    <row r="91" spans="10:10">
      <c r="J91" s="57"/>
    </row>
    <row r="92" spans="10:10">
      <c r="J92" s="57"/>
    </row>
    <row r="93" spans="10:10">
      <c r="J93" s="64"/>
    </row>
    <row r="94" spans="10:10">
      <c r="J94" s="57"/>
    </row>
    <row r="95" spans="10:10">
      <c r="J95" s="57"/>
    </row>
    <row r="96" spans="10:10">
      <c r="J96" s="57"/>
    </row>
    <row r="97" spans="10:10">
      <c r="J97" s="57"/>
    </row>
    <row r="98" spans="10:10">
      <c r="J98" s="57"/>
    </row>
    <row r="99" spans="10:10">
      <c r="J99" s="57"/>
    </row>
    <row r="100" spans="10:10">
      <c r="J100" s="57"/>
    </row>
    <row r="101" spans="10:10">
      <c r="J101" s="57"/>
    </row>
    <row r="102" spans="10:10">
      <c r="J102" s="57"/>
    </row>
    <row r="103" spans="10:10">
      <c r="J103" s="57"/>
    </row>
    <row r="104" spans="10:10">
      <c r="J104" s="57"/>
    </row>
    <row r="105" spans="10:10">
      <c r="J105" s="57"/>
    </row>
    <row r="107" spans="10:10">
      <c r="J107" s="57"/>
    </row>
    <row r="108" spans="10:10">
      <c r="J108" s="57"/>
    </row>
    <row r="109" spans="10:10">
      <c r="J109" s="57"/>
    </row>
    <row r="110" spans="10:10">
      <c r="J110" s="57"/>
    </row>
    <row r="111" spans="10:10">
      <c r="J111" s="57"/>
    </row>
    <row r="112" spans="10:10">
      <c r="J112" s="57"/>
    </row>
    <row r="113" spans="10:10">
      <c r="J113" s="57"/>
    </row>
    <row r="114" spans="10:10">
      <c r="J114" s="57"/>
    </row>
    <row r="115" spans="10:10">
      <c r="J115" s="57"/>
    </row>
    <row r="116" spans="10:10">
      <c r="J116" s="57"/>
    </row>
    <row r="117" spans="10:10">
      <c r="J117" s="57"/>
    </row>
    <row r="133" spans="10:10">
      <c r="J133" s="47"/>
    </row>
    <row r="134" spans="10:10">
      <c r="J134" s="47"/>
    </row>
    <row r="135" spans="10:10">
      <c r="J135" s="47"/>
    </row>
    <row r="136" spans="10:10">
      <c r="J136" s="47"/>
    </row>
    <row r="137" spans="10:10">
      <c r="J137" s="47"/>
    </row>
    <row r="146" spans="10:10">
      <c r="J146" s="57"/>
    </row>
    <row r="147" spans="10:10">
      <c r="J147" s="57"/>
    </row>
    <row r="148" spans="10:10">
      <c r="J148" s="57"/>
    </row>
    <row r="149" spans="10:10">
      <c r="J149" s="57"/>
    </row>
    <row r="150" spans="10:10">
      <c r="J150" s="57"/>
    </row>
    <row r="151" spans="10:10">
      <c r="J151" s="57"/>
    </row>
    <row r="152" spans="10:10">
      <c r="J152" s="57"/>
    </row>
    <row r="153" spans="10:10">
      <c r="J153" s="57"/>
    </row>
    <row r="154" spans="10:10">
      <c r="J154" s="57"/>
    </row>
    <row r="155" spans="10:10">
      <c r="J155" s="57"/>
    </row>
    <row r="156" spans="10:10">
      <c r="J156" s="57"/>
    </row>
    <row r="157" spans="10:10">
      <c r="J157" s="57"/>
    </row>
    <row r="158" spans="10:10">
      <c r="J158" s="57"/>
    </row>
    <row r="159" spans="10:10">
      <c r="J159" s="64"/>
    </row>
    <row r="160" spans="10:10">
      <c r="J160" s="57"/>
    </row>
    <row r="161" spans="10:10">
      <c r="J161" s="57"/>
    </row>
    <row r="162" spans="10:10">
      <c r="J162" s="57"/>
    </row>
    <row r="163" spans="10:10">
      <c r="J163" s="57"/>
    </row>
    <row r="164" spans="10:10">
      <c r="J164" s="57"/>
    </row>
    <row r="165" spans="10:10">
      <c r="J165" s="57"/>
    </row>
    <row r="166" spans="10:10">
      <c r="J166" s="57"/>
    </row>
    <row r="168" spans="10:10">
      <c r="J168" s="57"/>
    </row>
    <row r="169" spans="10:10">
      <c r="J169" s="57"/>
    </row>
    <row r="170" spans="10:10">
      <c r="J170" s="57"/>
    </row>
    <row r="171" spans="10:10">
      <c r="J171" s="57"/>
    </row>
    <row r="172" spans="10:10">
      <c r="J172" s="57"/>
    </row>
    <row r="175" spans="10:10">
      <c r="J175" s="57"/>
    </row>
    <row r="176" spans="10:10">
      <c r="J176" s="57"/>
    </row>
    <row r="177" spans="10:10">
      <c r="J177" s="57"/>
    </row>
    <row r="178" spans="10:10">
      <c r="J178" s="57"/>
    </row>
    <row r="179" spans="10:10">
      <c r="J179" s="57"/>
    </row>
    <row r="180" spans="10:10">
      <c r="J180" s="57"/>
    </row>
    <row r="181" spans="10:10">
      <c r="J181" s="57"/>
    </row>
    <row r="182" spans="10:10">
      <c r="J182" s="57"/>
    </row>
    <row r="211" spans="10:10">
      <c r="J211" s="57"/>
    </row>
    <row r="212" spans="10:10">
      <c r="J212" s="57"/>
    </row>
    <row r="213" spans="10:10">
      <c r="J213" s="57"/>
    </row>
    <row r="214" spans="10:10">
      <c r="J214" s="57"/>
    </row>
    <row r="215" spans="10:10">
      <c r="J215" s="57"/>
    </row>
    <row r="216" spans="10:10">
      <c r="J216" s="57"/>
    </row>
    <row r="217" spans="10:10">
      <c r="J217" s="57"/>
    </row>
    <row r="218" spans="10:10">
      <c r="J218" s="57"/>
    </row>
    <row r="219" spans="10:10">
      <c r="J219" s="57"/>
    </row>
    <row r="220" spans="10:10">
      <c r="J220" s="57"/>
    </row>
    <row r="221" spans="10:10">
      <c r="J221" s="57"/>
    </row>
    <row r="222" spans="10:10">
      <c r="J222" s="57"/>
    </row>
    <row r="223" spans="10:10">
      <c r="J223" s="57"/>
    </row>
    <row r="224" spans="10:10">
      <c r="J224" s="64"/>
    </row>
    <row r="225" spans="10:10">
      <c r="J225" s="57"/>
    </row>
    <row r="226" spans="10:10">
      <c r="J226" s="57"/>
    </row>
    <row r="227" spans="10:10">
      <c r="J227" s="57"/>
    </row>
    <row r="228" spans="10:10">
      <c r="J228" s="57"/>
    </row>
    <row r="229" spans="10:10">
      <c r="J229" s="57"/>
    </row>
    <row r="230" spans="10:10">
      <c r="J230" s="57"/>
    </row>
    <row r="231" spans="10:10">
      <c r="J231" s="57"/>
    </row>
    <row r="232" spans="10:10">
      <c r="J232" s="57"/>
    </row>
    <row r="233" spans="10:10">
      <c r="J233" s="57"/>
    </row>
    <row r="234" spans="10:10">
      <c r="J234" s="57"/>
    </row>
    <row r="235" spans="10:10">
      <c r="J235" s="57"/>
    </row>
    <row r="236" spans="10:10">
      <c r="J236" s="57"/>
    </row>
    <row r="237" spans="10:10">
      <c r="J237" s="57"/>
    </row>
    <row r="238" spans="10:10">
      <c r="J238" s="57"/>
    </row>
    <row r="239" spans="10:10">
      <c r="J239" s="57"/>
    </row>
    <row r="240" spans="10:10">
      <c r="J240" s="57"/>
    </row>
    <row r="241" spans="10:10">
      <c r="J241" s="57"/>
    </row>
    <row r="242" spans="10:10">
      <c r="J242" s="57"/>
    </row>
    <row r="243" spans="10:10">
      <c r="J243" s="57"/>
    </row>
    <row r="244" spans="10:10">
      <c r="J244" s="57"/>
    </row>
    <row r="245" spans="10:10">
      <c r="J245" s="57"/>
    </row>
    <row r="246" spans="10:10">
      <c r="J246" s="57"/>
    </row>
    <row r="247" spans="10:10">
      <c r="J247" s="57"/>
    </row>
    <row r="248" spans="10:10">
      <c r="J248" s="57"/>
    </row>
    <row r="249" spans="10:10">
      <c r="J249" s="57"/>
    </row>
    <row r="250" spans="10:10">
      <c r="J250" s="57"/>
    </row>
    <row r="251" spans="10:10">
      <c r="J251" s="57"/>
    </row>
    <row r="275" spans="3:10">
      <c r="C275" s="55"/>
      <c r="D275" s="55"/>
      <c r="E275" s="64"/>
      <c r="F275" s="64"/>
      <c r="G275" s="64"/>
      <c r="H275" s="64"/>
      <c r="I275" s="64"/>
    </row>
    <row r="276" spans="3:10">
      <c r="C276" s="55"/>
      <c r="D276" s="55"/>
      <c r="E276" s="57"/>
      <c r="F276" s="57"/>
      <c r="G276" s="57"/>
      <c r="H276" s="57"/>
      <c r="I276" s="57"/>
      <c r="J276" s="57"/>
    </row>
    <row r="277" spans="3:10">
      <c r="C277" s="55"/>
      <c r="D277" s="55"/>
      <c r="E277" s="57"/>
      <c r="F277" s="57"/>
      <c r="G277" s="57"/>
      <c r="H277" s="57"/>
      <c r="I277" s="57"/>
      <c r="J277" s="57"/>
    </row>
    <row r="278" spans="3:10">
      <c r="C278" s="55"/>
      <c r="D278" s="55"/>
      <c r="E278" s="57"/>
      <c r="F278" s="57"/>
      <c r="G278" s="57"/>
      <c r="H278" s="57"/>
      <c r="I278" s="57"/>
      <c r="J278" s="57"/>
    </row>
    <row r="279" spans="3:10">
      <c r="C279" s="55"/>
      <c r="D279" s="55"/>
      <c r="E279" s="57"/>
      <c r="F279" s="57"/>
      <c r="G279" s="57"/>
      <c r="H279" s="57"/>
      <c r="I279" s="57"/>
      <c r="J279" s="57"/>
    </row>
    <row r="280" spans="3:10">
      <c r="C280" s="55"/>
      <c r="D280" s="55"/>
      <c r="E280" s="57"/>
      <c r="F280" s="57"/>
      <c r="G280" s="57"/>
      <c r="H280" s="57"/>
      <c r="I280" s="57"/>
      <c r="J280" s="57"/>
    </row>
    <row r="281" spans="3:10">
      <c r="C281" s="55"/>
      <c r="D281" s="55"/>
      <c r="E281" s="57"/>
      <c r="F281" s="57"/>
      <c r="G281" s="57"/>
      <c r="H281" s="57"/>
      <c r="I281" s="57"/>
      <c r="J281" s="57"/>
    </row>
    <row r="282" spans="3:10">
      <c r="C282" s="55"/>
      <c r="D282" s="55"/>
      <c r="E282" s="57"/>
      <c r="F282" s="57"/>
      <c r="G282" s="57"/>
      <c r="H282" s="57"/>
      <c r="I282" s="57"/>
      <c r="J282" s="57"/>
    </row>
    <row r="283" spans="3:10">
      <c r="C283" s="55"/>
      <c r="D283" s="55"/>
      <c r="E283" s="57"/>
      <c r="F283" s="57"/>
      <c r="G283" s="57"/>
      <c r="H283" s="57"/>
      <c r="I283" s="57"/>
      <c r="J283" s="57"/>
    </row>
    <row r="284" spans="3:10">
      <c r="C284" s="55"/>
      <c r="D284" s="55"/>
      <c r="E284" s="57"/>
      <c r="F284" s="57"/>
      <c r="G284" s="57"/>
      <c r="H284" s="57"/>
      <c r="I284" s="57"/>
      <c r="J284" s="57"/>
    </row>
    <row r="285" spans="3:10">
      <c r="C285" s="55"/>
      <c r="D285" s="55"/>
      <c r="E285" s="57"/>
      <c r="F285" s="57"/>
      <c r="G285" s="57"/>
      <c r="H285" s="57"/>
      <c r="I285" s="57"/>
      <c r="J285" s="57"/>
    </row>
    <row r="286" spans="3:10">
      <c r="C286" s="55"/>
      <c r="D286" s="55"/>
      <c r="E286" s="57"/>
      <c r="F286" s="57"/>
      <c r="G286" s="57"/>
      <c r="H286" s="57"/>
      <c r="I286" s="57"/>
      <c r="J286" s="57"/>
    </row>
    <row r="287" spans="3:10">
      <c r="C287" s="55"/>
      <c r="D287" s="55"/>
      <c r="E287" s="57"/>
      <c r="F287" s="57"/>
      <c r="G287" s="57"/>
      <c r="H287" s="57"/>
      <c r="I287" s="57"/>
      <c r="J287" s="57"/>
    </row>
    <row r="288" spans="3:10">
      <c r="C288" s="55"/>
      <c r="D288" s="55"/>
      <c r="E288" s="57"/>
      <c r="F288" s="57"/>
      <c r="G288" s="57"/>
      <c r="H288" s="57"/>
      <c r="I288" s="57"/>
      <c r="J288" s="57"/>
    </row>
    <row r="289" spans="5:10">
      <c r="E289" s="64"/>
      <c r="F289" s="64"/>
      <c r="G289" s="64"/>
      <c r="H289" s="64"/>
      <c r="I289" s="64"/>
      <c r="J289" s="64"/>
    </row>
    <row r="290" spans="5:10">
      <c r="E290" s="57"/>
      <c r="F290" s="57"/>
      <c r="G290" s="57"/>
      <c r="H290" s="57"/>
      <c r="I290" s="57"/>
      <c r="J290" s="57"/>
    </row>
    <row r="291" spans="5:10">
      <c r="E291" s="57"/>
      <c r="F291" s="57"/>
      <c r="G291" s="57"/>
      <c r="H291" s="57"/>
      <c r="I291" s="57"/>
      <c r="J291" s="57"/>
    </row>
    <row r="292" spans="5:10">
      <c r="E292" s="64"/>
      <c r="F292" s="64"/>
      <c r="G292" s="64"/>
      <c r="H292" s="64"/>
      <c r="I292" s="64"/>
      <c r="J292" s="57"/>
    </row>
    <row r="293" spans="5:10">
      <c r="E293" s="57"/>
      <c r="F293" s="57"/>
      <c r="G293" s="57"/>
      <c r="H293" s="57"/>
      <c r="I293" s="57"/>
      <c r="J293" s="57"/>
    </row>
    <row r="294" spans="5:10">
      <c r="E294" s="57"/>
      <c r="F294" s="57"/>
      <c r="G294" s="57"/>
      <c r="H294" s="57"/>
      <c r="I294" s="57"/>
      <c r="J294" s="57"/>
    </row>
    <row r="295" spans="5:10">
      <c r="E295" s="57"/>
      <c r="F295" s="57"/>
      <c r="G295" s="57"/>
      <c r="H295" s="57"/>
      <c r="I295" s="57"/>
      <c r="J295" s="57"/>
    </row>
    <row r="296" spans="5:10">
      <c r="E296" s="57"/>
      <c r="F296" s="57"/>
      <c r="G296" s="57"/>
      <c r="H296" s="57"/>
      <c r="I296" s="57"/>
      <c r="J296" s="57"/>
    </row>
    <row r="297" spans="5:10">
      <c r="E297" s="57"/>
      <c r="F297" s="57"/>
      <c r="G297" s="57"/>
      <c r="H297" s="57"/>
      <c r="I297" s="57"/>
      <c r="J297" s="57"/>
    </row>
    <row r="298" spans="5:10">
      <c r="E298" s="57"/>
      <c r="F298" s="57"/>
      <c r="G298" s="57"/>
      <c r="H298" s="57"/>
      <c r="I298" s="57"/>
      <c r="J298" s="57"/>
    </row>
    <row r="299" spans="5:10">
      <c r="E299" s="57"/>
      <c r="F299" s="57"/>
      <c r="G299" s="57"/>
      <c r="H299" s="57"/>
      <c r="I299" s="57"/>
      <c r="J299" s="57"/>
    </row>
    <row r="300" spans="5:10">
      <c r="E300" s="57"/>
      <c r="F300" s="57"/>
      <c r="G300" s="57"/>
      <c r="H300" s="57"/>
      <c r="I300" s="57"/>
      <c r="J300" s="57"/>
    </row>
    <row r="301" spans="5:10">
      <c r="E301" s="57"/>
      <c r="F301" s="57"/>
      <c r="G301" s="57"/>
      <c r="H301" s="57"/>
      <c r="I301" s="57"/>
      <c r="J301" s="57"/>
    </row>
    <row r="302" spans="5:10">
      <c r="E302" s="57"/>
      <c r="F302" s="57"/>
      <c r="G302" s="57"/>
      <c r="H302" s="57"/>
      <c r="I302" s="57"/>
      <c r="J302" s="57"/>
    </row>
    <row r="303" spans="5:10">
      <c r="E303" s="57"/>
      <c r="F303" s="57"/>
      <c r="G303" s="57"/>
      <c r="H303" s="57"/>
      <c r="I303" s="57"/>
      <c r="J303" s="57"/>
    </row>
    <row r="340" spans="3:10">
      <c r="C340" s="55"/>
      <c r="D340" s="55"/>
      <c r="E340" s="64"/>
      <c r="F340" s="64"/>
      <c r="G340" s="64"/>
      <c r="H340" s="64"/>
      <c r="I340" s="64"/>
    </row>
    <row r="341" spans="3:10">
      <c r="C341" s="55"/>
      <c r="D341" s="55"/>
      <c r="E341" s="57"/>
      <c r="F341" s="57"/>
      <c r="G341" s="57"/>
      <c r="H341" s="57"/>
      <c r="I341" s="57"/>
      <c r="J341" s="57"/>
    </row>
    <row r="342" spans="3:10">
      <c r="C342" s="55"/>
      <c r="D342" s="55"/>
      <c r="E342" s="57"/>
      <c r="F342" s="57"/>
      <c r="G342" s="57"/>
      <c r="H342" s="57"/>
      <c r="I342" s="57"/>
      <c r="J342" s="57"/>
    </row>
    <row r="343" spans="3:10">
      <c r="C343" s="55"/>
      <c r="D343" s="55"/>
      <c r="E343" s="57"/>
      <c r="F343" s="57"/>
      <c r="G343" s="57"/>
      <c r="H343" s="57"/>
      <c r="I343" s="57"/>
      <c r="J343" s="57"/>
    </row>
    <row r="344" spans="3:10">
      <c r="C344" s="55"/>
      <c r="D344" s="55"/>
      <c r="E344" s="57"/>
      <c r="F344" s="57"/>
      <c r="G344" s="57"/>
      <c r="H344" s="57"/>
      <c r="I344" s="57"/>
      <c r="J344" s="57"/>
    </row>
    <row r="345" spans="3:10">
      <c r="C345" s="55"/>
      <c r="D345" s="55"/>
      <c r="E345" s="57"/>
      <c r="F345" s="57"/>
      <c r="G345" s="57"/>
      <c r="H345" s="57"/>
      <c r="I345" s="57"/>
      <c r="J345" s="57"/>
    </row>
    <row r="346" spans="3:10">
      <c r="C346" s="55"/>
      <c r="D346" s="55"/>
      <c r="E346" s="57"/>
      <c r="F346" s="57"/>
      <c r="G346" s="57"/>
      <c r="H346" s="57"/>
      <c r="I346" s="57"/>
      <c r="J346" s="57"/>
    </row>
    <row r="347" spans="3:10">
      <c r="C347" s="55"/>
      <c r="D347" s="55"/>
      <c r="E347" s="57"/>
      <c r="F347" s="57"/>
      <c r="G347" s="57"/>
      <c r="H347" s="57"/>
      <c r="I347" s="57"/>
      <c r="J347" s="57"/>
    </row>
    <row r="348" spans="3:10">
      <c r="C348" s="55"/>
      <c r="D348" s="55"/>
      <c r="E348" s="57"/>
      <c r="F348" s="57"/>
      <c r="G348" s="57"/>
      <c r="H348" s="57"/>
      <c r="I348" s="57"/>
      <c r="J348" s="57"/>
    </row>
    <row r="349" spans="3:10">
      <c r="C349" s="55"/>
      <c r="D349" s="55"/>
      <c r="E349" s="57"/>
      <c r="F349" s="57"/>
      <c r="G349" s="57"/>
      <c r="H349" s="57"/>
      <c r="I349" s="57"/>
      <c r="J349" s="57"/>
    </row>
    <row r="350" spans="3:10">
      <c r="C350" s="55"/>
      <c r="D350" s="55"/>
      <c r="E350" s="57"/>
      <c r="F350" s="57"/>
      <c r="G350" s="57"/>
      <c r="H350" s="57"/>
      <c r="I350" s="57"/>
      <c r="J350" s="57"/>
    </row>
    <row r="351" spans="3:10">
      <c r="C351" s="55"/>
      <c r="D351" s="55"/>
      <c r="E351" s="57"/>
      <c r="F351" s="57"/>
      <c r="G351" s="57"/>
      <c r="H351" s="57"/>
      <c r="I351" s="57"/>
      <c r="J351" s="57"/>
    </row>
    <row r="352" spans="3:10">
      <c r="C352" s="55"/>
      <c r="D352" s="55"/>
      <c r="E352" s="57"/>
      <c r="F352" s="57"/>
      <c r="G352" s="57"/>
      <c r="H352" s="57"/>
      <c r="I352" s="57"/>
      <c r="J352" s="57"/>
    </row>
    <row r="353" spans="3:10">
      <c r="C353" s="55"/>
      <c r="D353" s="55"/>
      <c r="E353" s="57"/>
      <c r="F353" s="57"/>
      <c r="G353" s="57"/>
      <c r="H353" s="57"/>
      <c r="I353" s="57"/>
      <c r="J353" s="57"/>
    </row>
    <row r="354" spans="3:10">
      <c r="E354" s="64"/>
      <c r="F354" s="64"/>
      <c r="G354" s="64"/>
      <c r="H354" s="64"/>
      <c r="I354" s="64"/>
      <c r="J354" s="64"/>
    </row>
    <row r="355" spans="3:10">
      <c r="E355" s="57"/>
      <c r="F355" s="57"/>
      <c r="G355" s="57"/>
      <c r="H355" s="57"/>
      <c r="I355" s="57"/>
      <c r="J355" s="57"/>
    </row>
    <row r="356" spans="3:10">
      <c r="E356" s="57"/>
      <c r="F356" s="57"/>
      <c r="G356" s="57"/>
      <c r="H356" s="57"/>
      <c r="I356" s="57"/>
      <c r="J356" s="57"/>
    </row>
    <row r="357" spans="3:10">
      <c r="E357" s="64"/>
      <c r="F357" s="64"/>
      <c r="G357" s="64"/>
      <c r="H357" s="64"/>
      <c r="I357" s="64"/>
      <c r="J357" s="57"/>
    </row>
    <row r="358" spans="3:10">
      <c r="E358" s="57"/>
      <c r="F358" s="57"/>
      <c r="G358" s="57"/>
      <c r="H358" s="57"/>
      <c r="I358" s="57"/>
      <c r="J358" s="57"/>
    </row>
    <row r="359" spans="3:10">
      <c r="E359" s="57"/>
      <c r="F359" s="57"/>
      <c r="G359" s="57"/>
      <c r="H359" s="57"/>
      <c r="I359" s="57"/>
      <c r="J359" s="57"/>
    </row>
    <row r="360" spans="3:10">
      <c r="E360" s="57"/>
      <c r="F360" s="57"/>
      <c r="G360" s="57"/>
      <c r="H360" s="57"/>
      <c r="I360" s="57"/>
      <c r="J360" s="57"/>
    </row>
    <row r="361" spans="3:10">
      <c r="E361" s="57"/>
      <c r="F361" s="57"/>
      <c r="G361" s="57"/>
      <c r="H361" s="57"/>
      <c r="I361" s="57"/>
      <c r="J361" s="57"/>
    </row>
    <row r="362" spans="3:10">
      <c r="E362" s="57"/>
      <c r="F362" s="57"/>
      <c r="G362" s="57"/>
      <c r="H362" s="57"/>
      <c r="I362" s="57"/>
      <c r="J362" s="57"/>
    </row>
    <row r="363" spans="3:10">
      <c r="E363" s="57"/>
      <c r="F363" s="57"/>
      <c r="G363" s="57"/>
      <c r="H363" s="57"/>
      <c r="I363" s="57"/>
      <c r="J363" s="57"/>
    </row>
    <row r="364" spans="3:10">
      <c r="E364" s="57"/>
      <c r="F364" s="57"/>
      <c r="G364" s="57"/>
      <c r="H364" s="57"/>
      <c r="I364" s="57"/>
      <c r="J364" s="57"/>
    </row>
    <row r="365" spans="3:10">
      <c r="E365" s="57"/>
      <c r="F365" s="57"/>
      <c r="G365" s="57"/>
      <c r="H365" s="57"/>
      <c r="I365" s="57"/>
      <c r="J365" s="57"/>
    </row>
    <row r="366" spans="3:10">
      <c r="E366" s="57"/>
      <c r="F366" s="57"/>
      <c r="G366" s="57"/>
      <c r="H366" s="57"/>
      <c r="I366" s="57"/>
      <c r="J366" s="57"/>
    </row>
    <row r="367" spans="3:10">
      <c r="E367" s="57"/>
      <c r="F367" s="57"/>
      <c r="G367" s="57"/>
      <c r="H367" s="57"/>
      <c r="I367" s="57"/>
      <c r="J367" s="57"/>
    </row>
    <row r="368" spans="3:10">
      <c r="E368" s="57"/>
      <c r="F368" s="57"/>
      <c r="G368" s="57"/>
      <c r="H368" s="57"/>
      <c r="I368" s="57"/>
      <c r="J368" s="57"/>
    </row>
    <row r="405" spans="3:10">
      <c r="C405" s="55"/>
      <c r="D405" s="55"/>
      <c r="E405" s="64"/>
      <c r="F405" s="64"/>
      <c r="G405" s="64"/>
      <c r="H405" s="64"/>
      <c r="I405" s="64"/>
    </row>
    <row r="406" spans="3:10">
      <c r="C406" s="55"/>
      <c r="D406" s="55"/>
      <c r="E406" s="57"/>
      <c r="F406" s="57"/>
      <c r="G406" s="57"/>
      <c r="H406" s="57"/>
      <c r="I406" s="57"/>
      <c r="J406" s="57"/>
    </row>
    <row r="407" spans="3:10">
      <c r="C407" s="55"/>
      <c r="D407" s="55"/>
      <c r="E407" s="57"/>
      <c r="F407" s="57"/>
      <c r="G407" s="57"/>
      <c r="H407" s="57"/>
      <c r="I407" s="57"/>
      <c r="J407" s="57"/>
    </row>
    <row r="408" spans="3:10">
      <c r="C408" s="55"/>
      <c r="D408" s="55"/>
      <c r="E408" s="57"/>
      <c r="F408" s="57"/>
      <c r="G408" s="57"/>
      <c r="H408" s="57"/>
      <c r="I408" s="57"/>
      <c r="J408" s="57"/>
    </row>
    <row r="409" spans="3:10">
      <c r="C409" s="55"/>
      <c r="D409" s="55"/>
      <c r="E409" s="57"/>
      <c r="F409" s="57"/>
      <c r="G409" s="57"/>
      <c r="H409" s="57"/>
      <c r="I409" s="57"/>
      <c r="J409" s="57"/>
    </row>
    <row r="410" spans="3:10">
      <c r="C410" s="55"/>
      <c r="D410" s="55"/>
      <c r="E410" s="57"/>
      <c r="F410" s="57"/>
      <c r="G410" s="57"/>
      <c r="H410" s="57"/>
      <c r="I410" s="57"/>
      <c r="J410" s="57"/>
    </row>
    <row r="411" spans="3:10">
      <c r="C411" s="55"/>
      <c r="D411" s="55"/>
      <c r="E411" s="57"/>
      <c r="F411" s="57"/>
      <c r="G411" s="57"/>
      <c r="H411" s="57"/>
      <c r="I411" s="57"/>
      <c r="J411" s="57"/>
    </row>
    <row r="412" spans="3:10">
      <c r="C412" s="55"/>
      <c r="D412" s="55"/>
      <c r="E412" s="57"/>
      <c r="F412" s="57"/>
      <c r="G412" s="57"/>
      <c r="H412" s="57"/>
      <c r="I412" s="57"/>
      <c r="J412" s="57"/>
    </row>
    <row r="413" spans="3:10">
      <c r="C413" s="55"/>
      <c r="D413" s="55"/>
      <c r="E413" s="57"/>
      <c r="F413" s="57"/>
      <c r="G413" s="57"/>
      <c r="H413" s="57"/>
      <c r="I413" s="57"/>
      <c r="J413" s="57"/>
    </row>
    <row r="414" spans="3:10">
      <c r="C414" s="55"/>
      <c r="D414" s="55"/>
      <c r="E414" s="57"/>
      <c r="F414" s="57"/>
      <c r="G414" s="57"/>
      <c r="H414" s="57"/>
      <c r="I414" s="57"/>
      <c r="J414" s="57"/>
    </row>
    <row r="415" spans="3:10">
      <c r="C415" s="55"/>
      <c r="D415" s="55"/>
      <c r="E415" s="57"/>
      <c r="F415" s="57"/>
      <c r="G415" s="57"/>
      <c r="H415" s="57"/>
      <c r="I415" s="57"/>
      <c r="J415" s="57"/>
    </row>
    <row r="416" spans="3:10">
      <c r="C416" s="55"/>
      <c r="D416" s="55"/>
      <c r="E416" s="57"/>
      <c r="F416" s="57"/>
      <c r="G416" s="57"/>
      <c r="H416" s="57"/>
      <c r="I416" s="57"/>
      <c r="J416" s="57"/>
    </row>
    <row r="417" spans="3:10">
      <c r="C417" s="55"/>
      <c r="D417" s="55"/>
      <c r="E417" s="57"/>
      <c r="F417" s="57"/>
      <c r="G417" s="57"/>
      <c r="H417" s="57"/>
      <c r="I417" s="57"/>
      <c r="J417" s="57"/>
    </row>
    <row r="418" spans="3:10">
      <c r="C418" s="55"/>
      <c r="D418" s="55"/>
      <c r="E418" s="57"/>
      <c r="F418" s="57"/>
      <c r="G418" s="57"/>
      <c r="H418" s="57"/>
      <c r="I418" s="57"/>
      <c r="J418" s="57"/>
    </row>
    <row r="419" spans="3:10">
      <c r="E419" s="64"/>
      <c r="F419" s="64"/>
      <c r="G419" s="64"/>
      <c r="H419" s="64"/>
      <c r="I419" s="64"/>
      <c r="J419" s="64"/>
    </row>
    <row r="420" spans="3:10">
      <c r="E420" s="57"/>
      <c r="F420" s="57"/>
      <c r="G420" s="57"/>
      <c r="H420" s="57"/>
      <c r="I420" s="57"/>
      <c r="J420" s="57"/>
    </row>
    <row r="421" spans="3:10">
      <c r="E421" s="57"/>
      <c r="F421" s="57"/>
      <c r="G421" s="57"/>
      <c r="H421" s="57"/>
      <c r="I421" s="57"/>
      <c r="J421" s="57"/>
    </row>
    <row r="422" spans="3:10">
      <c r="E422" s="64"/>
      <c r="F422" s="64"/>
      <c r="G422" s="64"/>
      <c r="H422" s="64"/>
      <c r="I422" s="64"/>
      <c r="J422" s="57"/>
    </row>
    <row r="423" spans="3:10">
      <c r="E423" s="57"/>
      <c r="F423" s="57"/>
      <c r="G423" s="57"/>
      <c r="H423" s="57"/>
      <c r="I423" s="57"/>
      <c r="J423" s="57"/>
    </row>
    <row r="424" spans="3:10">
      <c r="E424" s="57"/>
      <c r="F424" s="57"/>
      <c r="G424" s="57"/>
      <c r="H424" s="57"/>
      <c r="I424" s="57"/>
      <c r="J424" s="57"/>
    </row>
    <row r="425" spans="3:10">
      <c r="E425" s="57"/>
      <c r="F425" s="57"/>
      <c r="G425" s="57"/>
      <c r="H425" s="57"/>
      <c r="I425" s="57"/>
      <c r="J425" s="57"/>
    </row>
    <row r="426" spans="3:10">
      <c r="E426" s="57"/>
      <c r="F426" s="57"/>
      <c r="G426" s="57"/>
      <c r="H426" s="57"/>
      <c r="I426" s="57"/>
      <c r="J426" s="57"/>
    </row>
    <row r="427" spans="3:10">
      <c r="E427" s="57"/>
      <c r="F427" s="57"/>
      <c r="G427" s="57"/>
      <c r="H427" s="57"/>
      <c r="I427" s="57"/>
      <c r="J427" s="57"/>
    </row>
    <row r="428" spans="3:10">
      <c r="E428" s="57"/>
      <c r="F428" s="57"/>
      <c r="G428" s="57"/>
      <c r="H428" s="57"/>
      <c r="I428" s="57"/>
      <c r="J428" s="57"/>
    </row>
    <row r="429" spans="3:10">
      <c r="E429" s="57"/>
      <c r="F429" s="57"/>
      <c r="G429" s="57"/>
      <c r="H429" s="57"/>
      <c r="I429" s="57"/>
      <c r="J429" s="57"/>
    </row>
    <row r="430" spans="3:10">
      <c r="E430" s="57"/>
      <c r="F430" s="57"/>
      <c r="G430" s="57"/>
      <c r="H430" s="57"/>
      <c r="I430" s="57"/>
      <c r="J430" s="57"/>
    </row>
    <row r="431" spans="3:10">
      <c r="E431" s="57"/>
      <c r="F431" s="57"/>
      <c r="G431" s="57"/>
      <c r="H431" s="57"/>
      <c r="I431" s="57"/>
      <c r="J431" s="57"/>
    </row>
    <row r="432" spans="3:10">
      <c r="E432" s="57"/>
      <c r="F432" s="57"/>
      <c r="G432" s="57"/>
      <c r="H432" s="57"/>
      <c r="I432" s="57"/>
      <c r="J432" s="57"/>
    </row>
    <row r="433" spans="5:10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3.25" customHeight="1">
      <c r="A3" s="119" t="str">
        <f>'G99BW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'G99BW Input'!F6</f>
        <v>SFS: NW 250 PSIG Expansion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'G99BW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"&amp;'G99BW Input'!F13</f>
        <v>Acct 2.376.00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'G99BW TotalWO'!C15</f>
        <v>44180</v>
      </c>
      <c r="D15" s="55"/>
      <c r="E15" s="56">
        <f>'G99BW TotalWO'!E15*'G99BW Input'!$H$13</f>
        <v>0</v>
      </c>
      <c r="F15" s="68"/>
      <c r="G15" s="56">
        <f>'G99BW TotalWO'!G15*'G99BW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'G99BW TotalWO'!C16</f>
        <v>44211</v>
      </c>
      <c r="D16" s="55"/>
      <c r="E16" s="58">
        <f>'G99BW TotalWO'!E16*'G99BW Input'!$H$13</f>
        <v>0</v>
      </c>
      <c r="F16" s="68"/>
      <c r="G16" s="58">
        <f>'G99BW TotalWO'!G16*'G99BW Input'!$H$13</f>
        <v>2419422</v>
      </c>
      <c r="H16" s="59"/>
      <c r="I16" s="58">
        <f t="shared" si="0"/>
        <v>2419422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'G99BW TotalWO'!E17*'G99BW Input'!$H$13</f>
        <v>0</v>
      </c>
      <c r="F17" s="68"/>
      <c r="G17" s="68">
        <f>'G99BW TotalWO'!G17*'G99BW Input'!$H$13</f>
        <v>2419422</v>
      </c>
      <c r="H17" s="59"/>
      <c r="I17" s="59">
        <f t="shared" si="0"/>
        <v>2419422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'G99BW TotalWO'!E18*'G99BW Input'!$H$13</f>
        <v>0</v>
      </c>
      <c r="F18" s="68"/>
      <c r="G18" s="68">
        <f>'G99BW TotalWO'!G18*'G99BW Input'!$H$13</f>
        <v>2419422</v>
      </c>
      <c r="H18" s="59"/>
      <c r="I18" s="59">
        <f t="shared" si="0"/>
        <v>2419422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'G99BW TotalWO'!E19*'G99BW Input'!$H$13</f>
        <v>0</v>
      </c>
      <c r="F19" s="68"/>
      <c r="G19" s="68">
        <f>'G99BW TotalWO'!G19*'G99BW Input'!$H$13</f>
        <v>2419422</v>
      </c>
      <c r="H19" s="59"/>
      <c r="I19" s="59">
        <f t="shared" si="0"/>
        <v>2419422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'G99BW TotalWO'!E20*'G99BW Input'!$H$13</f>
        <v>0</v>
      </c>
      <c r="F20" s="68"/>
      <c r="G20" s="68">
        <f>'G99BW TotalWO'!G20*'G99BW Input'!$H$13</f>
        <v>2419422</v>
      </c>
      <c r="H20" s="59"/>
      <c r="I20" s="59">
        <f t="shared" si="0"/>
        <v>2419422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'G99BW TotalWO'!E21*'G99BW Input'!$H$13</f>
        <v>0</v>
      </c>
      <c r="F21" s="68"/>
      <c r="G21" s="68">
        <f>'G99BW TotalWO'!G21*'G99BW Input'!$H$13</f>
        <v>2419422</v>
      </c>
      <c r="H21" s="59"/>
      <c r="I21" s="59">
        <f t="shared" si="0"/>
        <v>2419422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'G99BW TotalWO'!E22*'G99BW Input'!$H$13</f>
        <v>0</v>
      </c>
      <c r="F22" s="68"/>
      <c r="G22" s="68">
        <f>'G99BW TotalWO'!G22*'G99BW Input'!$H$13</f>
        <v>2419422</v>
      </c>
      <c r="H22" s="59"/>
      <c r="I22" s="59">
        <f t="shared" si="0"/>
        <v>2419422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'G99BW TotalWO'!E23*'G99BW Input'!$H$13</f>
        <v>0</v>
      </c>
      <c r="F23" s="68"/>
      <c r="G23" s="68">
        <f>'G99BW TotalWO'!G23*'G99BW Input'!$H$13</f>
        <v>2419422</v>
      </c>
      <c r="H23" s="59"/>
      <c r="I23" s="59">
        <f t="shared" si="0"/>
        <v>2419422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'G99BW TotalWO'!E24*'G99BW Input'!$H$13</f>
        <v>0</v>
      </c>
      <c r="F24" s="68"/>
      <c r="G24" s="68">
        <f>'G99BW TotalWO'!G24*'G99BW Input'!$H$13</f>
        <v>2419422</v>
      </c>
      <c r="H24" s="59"/>
      <c r="I24" s="59">
        <f t="shared" si="0"/>
        <v>2419422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'G99BW TotalWO'!E25*'G99BW Input'!$H$13</f>
        <v>0</v>
      </c>
      <c r="F25" s="68"/>
      <c r="G25" s="68">
        <f>'G99BW TotalWO'!G25*'G99BW Input'!$H$13</f>
        <v>2419422</v>
      </c>
      <c r="H25" s="59"/>
      <c r="I25" s="59">
        <f t="shared" si="0"/>
        <v>2419422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'G99BW TotalWO'!E26*'G99BW Input'!$H$13</f>
        <v>0</v>
      </c>
      <c r="F26" s="68"/>
      <c r="G26" s="68">
        <f>'G99BW TotalWO'!G26*'G99BW Input'!$H$13</f>
        <v>2419422</v>
      </c>
      <c r="H26" s="59"/>
      <c r="I26" s="59">
        <f t="shared" si="0"/>
        <v>2419422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'G99BW TotalWO'!E27*'G99BW Input'!$H$13</f>
        <v>0</v>
      </c>
      <c r="F27" s="68"/>
      <c r="G27" s="71">
        <f>'G99BW TotalWO'!G27*'G99BW Input'!$H$13</f>
        <v>2419422</v>
      </c>
      <c r="H27" s="59"/>
      <c r="I27" s="61">
        <f t="shared" si="0"/>
        <v>2419422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29033064</v>
      </c>
      <c r="H28" s="64"/>
      <c r="I28" s="63">
        <f>SUM(I16:I27)</f>
        <v>29033064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2419422</v>
      </c>
      <c r="H30" s="64"/>
      <c r="I30" s="66">
        <f>ROUND(+I28/12,2)</f>
        <v>2419422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2419422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149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3.2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SFS: NW 250 PSIG Expansion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2.376.00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4447.47</v>
      </c>
      <c r="H53" s="64"/>
      <c r="I53" s="63">
        <f t="shared" ref="I53:I64" si="4">G53-E53</f>
        <v>4447.47</v>
      </c>
      <c r="K53" s="58"/>
      <c r="M53" s="63">
        <f>+ROUND(I53/I$67*M$67,2)</f>
        <v>653.78</v>
      </c>
    </row>
    <row r="54" spans="1:13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4447.47</v>
      </c>
      <c r="H54" s="57"/>
      <c r="I54" s="59">
        <f t="shared" si="4"/>
        <v>4447.47</v>
      </c>
      <c r="M54" s="59">
        <f t="shared" ref="M54:M60" si="8">+ROUND(I54/I$67*M$67,2)</f>
        <v>653.78</v>
      </c>
    </row>
    <row r="55" spans="1:13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4447.47</v>
      </c>
      <c r="H55" s="57"/>
      <c r="I55" s="59">
        <f t="shared" si="4"/>
        <v>4447.47</v>
      </c>
      <c r="M55" s="59">
        <f t="shared" si="8"/>
        <v>653.78</v>
      </c>
    </row>
    <row r="56" spans="1:13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4447.47</v>
      </c>
      <c r="H56" s="57"/>
      <c r="I56" s="59">
        <f t="shared" si="4"/>
        <v>4447.47</v>
      </c>
      <c r="M56" s="59">
        <f t="shared" si="8"/>
        <v>653.78</v>
      </c>
    </row>
    <row r="57" spans="1:13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4447.47</v>
      </c>
      <c r="H57" s="57"/>
      <c r="I57" s="59">
        <f t="shared" si="4"/>
        <v>4447.47</v>
      </c>
      <c r="M57" s="59">
        <f t="shared" si="8"/>
        <v>653.78</v>
      </c>
    </row>
    <row r="58" spans="1:13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4447.47</v>
      </c>
      <c r="H58" s="57"/>
      <c r="I58" s="59">
        <f t="shared" si="4"/>
        <v>4447.47</v>
      </c>
      <c r="M58" s="59">
        <f t="shared" si="8"/>
        <v>653.78</v>
      </c>
    </row>
    <row r="59" spans="1:13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4447.47</v>
      </c>
      <c r="H59" s="57"/>
      <c r="I59" s="59">
        <f t="shared" si="4"/>
        <v>4447.47</v>
      </c>
      <c r="M59" s="59">
        <f t="shared" si="8"/>
        <v>653.78</v>
      </c>
    </row>
    <row r="60" spans="1:13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4447.47</v>
      </c>
      <c r="H60" s="57"/>
      <c r="I60" s="59">
        <f t="shared" si="4"/>
        <v>4447.47</v>
      </c>
      <c r="M60" s="59">
        <f t="shared" si="8"/>
        <v>653.78</v>
      </c>
    </row>
    <row r="61" spans="1:13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4447.47</v>
      </c>
      <c r="H61" s="57"/>
      <c r="I61" s="59">
        <f t="shared" si="4"/>
        <v>4447.47</v>
      </c>
      <c r="M61" s="59">
        <f>+ROUND(I61/I$67*M$67,2)+0.01</f>
        <v>653.79</v>
      </c>
    </row>
    <row r="62" spans="1:13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4447.47</v>
      </c>
      <c r="H62" s="57"/>
      <c r="I62" s="59">
        <f t="shared" si="4"/>
        <v>4447.47</v>
      </c>
      <c r="M62" s="59">
        <f>+ROUND(I62/I$67*M$67,2)+0.01</f>
        <v>653.79</v>
      </c>
    </row>
    <row r="63" spans="1:13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4447.47</v>
      </c>
      <c r="H63" s="57"/>
      <c r="I63" s="59">
        <f t="shared" si="4"/>
        <v>4447.47</v>
      </c>
      <c r="M63" s="59">
        <f>+ROUND(I63/I$67*M$67,2)+0.01</f>
        <v>653.79</v>
      </c>
    </row>
    <row r="64" spans="1:13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4447.47</v>
      </c>
      <c r="H64" s="57"/>
      <c r="I64" s="61">
        <f t="shared" si="4"/>
        <v>4447.47</v>
      </c>
      <c r="M64" s="61">
        <f>+ROUND(I64/I$67*M$67,2)+0.01</f>
        <v>653.79</v>
      </c>
    </row>
    <row r="65" spans="1:13">
      <c r="A65" s="48">
        <f t="shared" si="5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53369.640000000007</v>
      </c>
      <c r="H65" s="64"/>
      <c r="I65" s="63">
        <f>SUM(I53:I64)</f>
        <v>53369.640000000007</v>
      </c>
      <c r="M65" s="63">
        <f>SUM(M53:M64)</f>
        <v>7845.3999999999987</v>
      </c>
    </row>
    <row r="66" spans="1:13">
      <c r="A66" s="48">
        <f t="shared" si="5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5"/>
        <v>15</v>
      </c>
      <c r="C67" s="62" t="s">
        <v>116</v>
      </c>
      <c r="D67" s="62"/>
      <c r="E67" s="64"/>
      <c r="F67" s="64"/>
      <c r="G67" s="64"/>
      <c r="H67" s="64"/>
      <c r="I67" s="66">
        <f>I65</f>
        <v>53369.640000000007</v>
      </c>
      <c r="K67" s="66">
        <f>ROUND(G16*K73,2)</f>
        <v>90728.33</v>
      </c>
      <c r="M67" s="66">
        <f>ROUND(+(K67-I67)*M73,2)</f>
        <v>7845.32</v>
      </c>
    </row>
    <row r="68" spans="1:13" ht="12" thickTop="1">
      <c r="A68" s="48">
        <f t="shared" si="5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5"/>
        <v>17</v>
      </c>
      <c r="I69" s="62" t="s">
        <v>150</v>
      </c>
      <c r="M69" s="54" t="s">
        <v>120</v>
      </c>
    </row>
    <row r="70" spans="1:13">
      <c r="A70" s="48">
        <f t="shared" si="5"/>
        <v>18</v>
      </c>
      <c r="K70" s="54" t="s">
        <v>126</v>
      </c>
      <c r="M70" s="54" t="s">
        <v>127</v>
      </c>
    </row>
    <row r="71" spans="1:13">
      <c r="A71" s="48">
        <f t="shared" si="5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5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5"/>
        <v>21</v>
      </c>
      <c r="C73" s="75" t="str">
        <f>E49</f>
        <v>Acct 2.376.00</v>
      </c>
      <c r="D73" s="75"/>
      <c r="E73" s="76">
        <f>'G99BW Input'!J13</f>
        <v>2.2058823529411766E-2</v>
      </c>
      <c r="F73" s="76"/>
      <c r="G73" s="76">
        <f>E73/12</f>
        <v>1.8382352941176473E-3</v>
      </c>
      <c r="K73" s="86">
        <f>+'G99BW Input'!L13</f>
        <v>3.7499999999999999E-2</v>
      </c>
      <c r="M73" s="87">
        <f>+'G99BW Input'!N13</f>
        <v>0.21</v>
      </c>
    </row>
    <row r="74" spans="1:13">
      <c r="A74" s="48">
        <f t="shared" si="5"/>
        <v>22</v>
      </c>
      <c r="H74" s="67"/>
      <c r="I74" s="57"/>
      <c r="K74" s="54" t="s">
        <v>135</v>
      </c>
    </row>
    <row r="75" spans="1:13">
      <c r="A75" s="48">
        <f t="shared" si="5"/>
        <v>23</v>
      </c>
      <c r="H75" s="76"/>
      <c r="I75" s="57"/>
    </row>
    <row r="76" spans="1:13">
      <c r="A76" s="48">
        <f t="shared" si="5"/>
        <v>24</v>
      </c>
    </row>
    <row r="77" spans="1:13">
      <c r="A77" s="48">
        <f t="shared" si="5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2.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SFS: NW 250 PSIG Expansion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2.376.00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4447.47</v>
      </c>
      <c r="H93" s="57"/>
      <c r="I93" s="58">
        <f t="shared" si="9"/>
        <v>4447.47</v>
      </c>
      <c r="M93" s="58">
        <f>+M53</f>
        <v>653.78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8894.94</v>
      </c>
      <c r="H94" s="57"/>
      <c r="I94" s="59">
        <f t="shared" si="9"/>
        <v>8894.94</v>
      </c>
      <c r="M94" s="59">
        <f>+M93+M54</f>
        <v>1307.56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13342.41</v>
      </c>
      <c r="H95" s="57"/>
      <c r="I95" s="59">
        <f t="shared" si="9"/>
        <v>13342.41</v>
      </c>
      <c r="M95" s="59">
        <f t="shared" ref="M95:M104" si="14">+M94+M55</f>
        <v>1961.34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17789.88</v>
      </c>
      <c r="H96" s="57"/>
      <c r="I96" s="59">
        <f t="shared" si="9"/>
        <v>17789.88</v>
      </c>
      <c r="M96" s="59">
        <f t="shared" si="14"/>
        <v>2615.12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22237.350000000002</v>
      </c>
      <c r="H97" s="57"/>
      <c r="I97" s="59">
        <f t="shared" si="9"/>
        <v>22237.350000000002</v>
      </c>
      <c r="M97" s="59">
        <f t="shared" si="14"/>
        <v>3268.8999999999996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26684.820000000003</v>
      </c>
      <c r="H98" s="57"/>
      <c r="I98" s="59">
        <f t="shared" si="9"/>
        <v>26684.820000000003</v>
      </c>
      <c r="M98" s="59">
        <f t="shared" si="14"/>
        <v>3922.6799999999994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31132.290000000005</v>
      </c>
      <c r="H99" s="57"/>
      <c r="I99" s="59">
        <f t="shared" si="9"/>
        <v>31132.290000000005</v>
      </c>
      <c r="M99" s="59">
        <f t="shared" si="14"/>
        <v>4576.4599999999991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35579.760000000002</v>
      </c>
      <c r="H100" s="57"/>
      <c r="I100" s="59">
        <f t="shared" si="9"/>
        <v>35579.760000000002</v>
      </c>
      <c r="M100" s="59">
        <f t="shared" si="14"/>
        <v>5230.2399999999989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40027.230000000003</v>
      </c>
      <c r="H101" s="57"/>
      <c r="I101" s="59">
        <f t="shared" si="9"/>
        <v>40027.230000000003</v>
      </c>
      <c r="M101" s="59">
        <f t="shared" si="14"/>
        <v>5884.0299999999988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44474.700000000004</v>
      </c>
      <c r="H102" s="57"/>
      <c r="I102" s="59">
        <f t="shared" si="9"/>
        <v>44474.700000000004</v>
      </c>
      <c r="M102" s="59">
        <f t="shared" si="14"/>
        <v>6537.8199999999988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48922.170000000006</v>
      </c>
      <c r="H103" s="57"/>
      <c r="I103" s="59">
        <f t="shared" si="9"/>
        <v>48922.170000000006</v>
      </c>
      <c r="M103" s="59">
        <f t="shared" si="14"/>
        <v>7191.6099999999988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53369.640000000007</v>
      </c>
      <c r="H104" s="57"/>
      <c r="I104" s="61">
        <f t="shared" si="9"/>
        <v>53369.640000000007</v>
      </c>
      <c r="M104" s="61">
        <f t="shared" si="14"/>
        <v>7845.3999999999987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346902.66000000003</v>
      </c>
      <c r="H105" s="64"/>
      <c r="I105" s="63">
        <f>SUM(I93:I104)</f>
        <v>346902.66000000003</v>
      </c>
      <c r="M105" s="63">
        <f>SUM(M93:M104)</f>
        <v>50994.939999999995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28908.560000000001</v>
      </c>
      <c r="H107" s="64"/>
      <c r="I107" s="66">
        <f>ROUND(+I105/12,2)</f>
        <v>28908.560000000001</v>
      </c>
      <c r="M107" s="66">
        <f>ROUND(+M105/12,2)</f>
        <v>4249.58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28908.560000000001</v>
      </c>
      <c r="M110" s="78">
        <f>+M107</f>
        <v>4249.58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151</v>
      </c>
      <c r="M112" s="62" t="s">
        <v>152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0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23B-3406-438F-9677-67FF672E7672}">
  <dimension ref="A1:M121"/>
  <sheetViews>
    <sheetView view="pageLayout" zoomScaleNormal="100" workbookViewId="0">
      <selection sqref="A1:XFD1048576"/>
    </sheetView>
  </sheetViews>
  <sheetFormatPr defaultColWidth="10.28515625" defaultRowHeight="11.25"/>
  <cols>
    <col min="1" max="1" width="4.85546875" style="48" customWidth="1"/>
    <col min="2" max="2" width="1" style="48" customWidth="1"/>
    <col min="3" max="3" width="13.28515625" style="48" bestFit="1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>
      <c r="A1" s="45"/>
      <c r="B1" s="45"/>
      <c r="C1" s="46"/>
      <c r="D1" s="46"/>
      <c r="E1" s="46"/>
      <c r="F1" s="46"/>
      <c r="G1" s="46"/>
      <c r="H1" s="46"/>
      <c r="I1" s="46"/>
    </row>
    <row r="2" spans="1:12">
      <c r="A2" s="118"/>
      <c r="B2" s="118"/>
      <c r="C2" s="118"/>
      <c r="D2" s="118"/>
      <c r="E2" s="118"/>
      <c r="F2" s="118"/>
      <c r="G2" s="118"/>
      <c r="H2" s="118"/>
      <c r="I2" s="118"/>
    </row>
    <row r="3" spans="1:12" ht="24.75" customHeight="1">
      <c r="A3" s="119" t="str">
        <f>'G9BDL Input'!A3:J3</f>
        <v>Pro-Forma Adjustment - System Reliability</v>
      </c>
      <c r="B3" s="118"/>
      <c r="C3" s="118"/>
      <c r="D3" s="118"/>
      <c r="E3" s="118"/>
      <c r="F3" s="118"/>
      <c r="G3" s="118"/>
      <c r="H3" s="118"/>
      <c r="I3" s="118"/>
    </row>
    <row r="4" spans="1:12">
      <c r="A4" s="45"/>
      <c r="B4" s="45"/>
      <c r="C4" s="46"/>
      <c r="D4" s="46"/>
      <c r="E4" s="46"/>
      <c r="F4" s="46"/>
      <c r="G4" s="46"/>
      <c r="H4" s="46"/>
      <c r="I4" s="46"/>
    </row>
    <row r="5" spans="1:12">
      <c r="A5" s="49"/>
      <c r="B5" s="49"/>
      <c r="C5" s="47"/>
      <c r="D5" s="47"/>
      <c r="E5" s="47"/>
      <c r="F5" s="47"/>
      <c r="G5" s="47"/>
      <c r="H5" s="47"/>
      <c r="I5" s="47"/>
    </row>
    <row r="6" spans="1:12">
      <c r="A6" s="120" t="str">
        <f>'G9BDL Input'!F6</f>
        <v>2023 Odorizer Replacment - SD</v>
      </c>
      <c r="B6" s="120"/>
      <c r="C6" s="120"/>
      <c r="D6" s="120"/>
      <c r="E6" s="120"/>
      <c r="F6" s="120"/>
      <c r="G6" s="120"/>
      <c r="H6" s="120"/>
      <c r="I6" s="120"/>
    </row>
    <row r="7" spans="1:12">
      <c r="A7" s="99"/>
      <c r="B7" s="99"/>
      <c r="C7" s="99"/>
      <c r="D7" s="99"/>
      <c r="E7" s="99"/>
      <c r="F7" s="99"/>
      <c r="G7" s="99"/>
      <c r="H7" s="99"/>
      <c r="I7" s="99"/>
    </row>
    <row r="8" spans="1:12">
      <c r="A8" s="49" t="str">
        <f>'G9BDL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>
      <c r="A9" s="49" t="s">
        <v>10</v>
      </c>
      <c r="B9" s="49"/>
      <c r="C9" s="47"/>
      <c r="D9" s="47"/>
      <c r="E9" s="47" t="s">
        <v>10</v>
      </c>
      <c r="F9" s="47"/>
      <c r="G9" s="47"/>
      <c r="H9" s="47"/>
      <c r="I9" s="47"/>
    </row>
    <row r="11" spans="1:12" ht="12" thickBot="1">
      <c r="A11" s="75" t="s">
        <v>108</v>
      </c>
      <c r="E11" s="51" t="str">
        <f>"Acct "&amp;'G9BDL Input'!F13</f>
        <v>Acct 2.379.00</v>
      </c>
      <c r="F11" s="51"/>
      <c r="G11" s="51"/>
      <c r="H11" s="51"/>
      <c r="I11" s="51"/>
    </row>
    <row r="12" spans="1:12" ht="12" thickBot="1">
      <c r="A12" s="96" t="s">
        <v>110</v>
      </c>
      <c r="B12" s="53"/>
      <c r="C12" s="52" t="s">
        <v>111</v>
      </c>
      <c r="D12" s="53"/>
      <c r="E12" s="52" t="s">
        <v>112</v>
      </c>
      <c r="F12" s="53"/>
      <c r="G12" s="52" t="s">
        <v>113</v>
      </c>
      <c r="H12" s="53"/>
      <c r="I12" s="52" t="s">
        <v>114</v>
      </c>
    </row>
    <row r="13" spans="1:12">
      <c r="A13" s="54"/>
      <c r="B13" s="53"/>
      <c r="C13" s="102" t="s">
        <v>6</v>
      </c>
      <c r="D13" s="54"/>
      <c r="E13" s="36" t="s">
        <v>7</v>
      </c>
      <c r="F13" s="54"/>
      <c r="G13" s="36" t="s">
        <v>8</v>
      </c>
      <c r="H13" s="97"/>
      <c r="I13" s="36" t="s">
        <v>43</v>
      </c>
    </row>
    <row r="14" spans="1:12">
      <c r="A14" s="54"/>
      <c r="B14" s="53"/>
      <c r="C14" s="54"/>
      <c r="D14" s="53"/>
      <c r="E14" s="54"/>
      <c r="F14" s="53"/>
      <c r="G14" s="54"/>
      <c r="H14" s="53"/>
      <c r="I14" s="54"/>
    </row>
    <row r="15" spans="1:12">
      <c r="A15" s="48">
        <v>1</v>
      </c>
      <c r="C15" s="55">
        <f>'G9BDL TotalWO'!C15</f>
        <v>44180</v>
      </c>
      <c r="D15" s="55"/>
      <c r="E15" s="56">
        <f>'G9BDL TotalWO'!E15*'G9BDL Input'!$H$13</f>
        <v>0</v>
      </c>
      <c r="F15" s="68"/>
      <c r="G15" s="56">
        <f>'G9BDL TotalWO'!G15*'G9BDL Input'!$H$13</f>
        <v>0</v>
      </c>
      <c r="H15" s="59"/>
      <c r="I15" s="56">
        <f t="shared" ref="I15:I27" si="0">G15-E15</f>
        <v>0</v>
      </c>
    </row>
    <row r="16" spans="1:12">
      <c r="A16" s="48">
        <f t="shared" ref="A16:A38" si="1">1+A15</f>
        <v>2</v>
      </c>
      <c r="C16" s="55">
        <f>'G9BDL TotalWO'!C16</f>
        <v>44211</v>
      </c>
      <c r="D16" s="55"/>
      <c r="E16" s="58">
        <f>'G9BDL TotalWO'!E16*'G9BDL Input'!$H$13</f>
        <v>0</v>
      </c>
      <c r="F16" s="68"/>
      <c r="G16" s="58">
        <f>'G9BDL TotalWO'!G16*'G9BDL Input'!$H$13</f>
        <v>529996</v>
      </c>
      <c r="H16" s="59"/>
      <c r="I16" s="58">
        <f t="shared" si="0"/>
        <v>529996</v>
      </c>
      <c r="K16" s="84"/>
      <c r="L16" s="84"/>
    </row>
    <row r="17" spans="1:9">
      <c r="A17" s="48">
        <f t="shared" si="1"/>
        <v>3</v>
      </c>
      <c r="C17" s="55">
        <f t="shared" ref="C17:C27" si="2">C16+31</f>
        <v>44242</v>
      </c>
      <c r="D17" s="55"/>
      <c r="E17" s="69">
        <f>'G9BDL TotalWO'!E17*'G9BDL Input'!$H$13</f>
        <v>0</v>
      </c>
      <c r="F17" s="68"/>
      <c r="G17" s="68">
        <f>'G9BDL TotalWO'!G17*'G9BDL Input'!$H$13</f>
        <v>529996</v>
      </c>
      <c r="H17" s="59"/>
      <c r="I17" s="59">
        <f t="shared" si="0"/>
        <v>529996</v>
      </c>
    </row>
    <row r="18" spans="1:9">
      <c r="A18" s="48">
        <f t="shared" si="1"/>
        <v>4</v>
      </c>
      <c r="C18" s="55">
        <f t="shared" si="2"/>
        <v>44273</v>
      </c>
      <c r="D18" s="55"/>
      <c r="E18" s="69">
        <f>'G9BDL TotalWO'!E18*'G9BDL Input'!$H$13</f>
        <v>0</v>
      </c>
      <c r="F18" s="68"/>
      <c r="G18" s="68">
        <f>'G9BDL TotalWO'!G18*'G9BDL Input'!$H$13</f>
        <v>529996</v>
      </c>
      <c r="H18" s="59"/>
      <c r="I18" s="59">
        <f t="shared" si="0"/>
        <v>529996</v>
      </c>
    </row>
    <row r="19" spans="1:9">
      <c r="A19" s="48">
        <f t="shared" si="1"/>
        <v>5</v>
      </c>
      <c r="C19" s="55">
        <f t="shared" si="2"/>
        <v>44304</v>
      </c>
      <c r="D19" s="55"/>
      <c r="E19" s="69">
        <f>'G9BDL TotalWO'!E19*'G9BDL Input'!$H$13</f>
        <v>0</v>
      </c>
      <c r="F19" s="68"/>
      <c r="G19" s="68">
        <f>'G9BDL TotalWO'!G19*'G9BDL Input'!$H$13</f>
        <v>529996</v>
      </c>
      <c r="H19" s="59"/>
      <c r="I19" s="59">
        <f t="shared" si="0"/>
        <v>529996</v>
      </c>
    </row>
    <row r="20" spans="1:9">
      <c r="A20" s="48">
        <f t="shared" si="1"/>
        <v>6</v>
      </c>
      <c r="C20" s="55">
        <f t="shared" si="2"/>
        <v>44335</v>
      </c>
      <c r="D20" s="55"/>
      <c r="E20" s="69">
        <f>'G9BDL TotalWO'!E20*'G9BDL Input'!$H$13</f>
        <v>0</v>
      </c>
      <c r="F20" s="68"/>
      <c r="G20" s="68">
        <f>'G9BDL TotalWO'!G20*'G9BDL Input'!$H$13</f>
        <v>529996</v>
      </c>
      <c r="H20" s="59"/>
      <c r="I20" s="59">
        <f t="shared" si="0"/>
        <v>529996</v>
      </c>
    </row>
    <row r="21" spans="1:9">
      <c r="A21" s="48">
        <f t="shared" si="1"/>
        <v>7</v>
      </c>
      <c r="C21" s="55">
        <f t="shared" si="2"/>
        <v>44366</v>
      </c>
      <c r="D21" s="55"/>
      <c r="E21" s="69">
        <f>'G9BDL TotalWO'!E21*'G9BDL Input'!$H$13</f>
        <v>0</v>
      </c>
      <c r="F21" s="68"/>
      <c r="G21" s="68">
        <f>'G9BDL TotalWO'!G21*'G9BDL Input'!$H$13</f>
        <v>529996</v>
      </c>
      <c r="H21" s="59"/>
      <c r="I21" s="59">
        <f t="shared" si="0"/>
        <v>529996</v>
      </c>
    </row>
    <row r="22" spans="1:9">
      <c r="A22" s="48">
        <f t="shared" si="1"/>
        <v>8</v>
      </c>
      <c r="C22" s="55">
        <f t="shared" si="2"/>
        <v>44397</v>
      </c>
      <c r="D22" s="55"/>
      <c r="E22" s="69">
        <f>'G9BDL TotalWO'!E22*'G9BDL Input'!$H$13</f>
        <v>0</v>
      </c>
      <c r="F22" s="68"/>
      <c r="G22" s="68">
        <f>'G9BDL TotalWO'!G22*'G9BDL Input'!$H$13</f>
        <v>529996</v>
      </c>
      <c r="H22" s="59"/>
      <c r="I22" s="59">
        <f t="shared" si="0"/>
        <v>529996</v>
      </c>
    </row>
    <row r="23" spans="1:9">
      <c r="A23" s="48">
        <f t="shared" si="1"/>
        <v>9</v>
      </c>
      <c r="C23" s="55">
        <f t="shared" si="2"/>
        <v>44428</v>
      </c>
      <c r="D23" s="55"/>
      <c r="E23" s="69">
        <f>'G9BDL TotalWO'!E23*'G9BDL Input'!$H$13</f>
        <v>0</v>
      </c>
      <c r="F23" s="68"/>
      <c r="G23" s="68">
        <f>'G9BDL TotalWO'!G23*'G9BDL Input'!$H$13</f>
        <v>529996</v>
      </c>
      <c r="H23" s="59"/>
      <c r="I23" s="59">
        <f t="shared" si="0"/>
        <v>529996</v>
      </c>
    </row>
    <row r="24" spans="1:9">
      <c r="A24" s="48">
        <f t="shared" si="1"/>
        <v>10</v>
      </c>
      <c r="C24" s="55">
        <f t="shared" si="2"/>
        <v>44459</v>
      </c>
      <c r="D24" s="55"/>
      <c r="E24" s="69">
        <f>'G9BDL TotalWO'!E24*'G9BDL Input'!$H$13</f>
        <v>0</v>
      </c>
      <c r="F24" s="68"/>
      <c r="G24" s="68">
        <f>'G9BDL TotalWO'!G24*'G9BDL Input'!$H$13</f>
        <v>529996</v>
      </c>
      <c r="H24" s="59"/>
      <c r="I24" s="59">
        <f t="shared" si="0"/>
        <v>529996</v>
      </c>
    </row>
    <row r="25" spans="1:9">
      <c r="A25" s="48">
        <f t="shared" si="1"/>
        <v>11</v>
      </c>
      <c r="C25" s="55">
        <f t="shared" si="2"/>
        <v>44490</v>
      </c>
      <c r="D25" s="55"/>
      <c r="E25" s="69">
        <f>'G9BDL TotalWO'!E25*'G9BDL Input'!$H$13</f>
        <v>0</v>
      </c>
      <c r="F25" s="68"/>
      <c r="G25" s="68">
        <f>'G9BDL TotalWO'!G25*'G9BDL Input'!$H$13</f>
        <v>529996</v>
      </c>
      <c r="H25" s="59"/>
      <c r="I25" s="59">
        <f t="shared" si="0"/>
        <v>529996</v>
      </c>
    </row>
    <row r="26" spans="1:9">
      <c r="A26" s="48">
        <f t="shared" si="1"/>
        <v>12</v>
      </c>
      <c r="C26" s="55">
        <f t="shared" si="2"/>
        <v>44521</v>
      </c>
      <c r="D26" s="55"/>
      <c r="E26" s="69">
        <f>'G9BDL TotalWO'!E26*'G9BDL Input'!$H$13</f>
        <v>0</v>
      </c>
      <c r="F26" s="68"/>
      <c r="G26" s="68">
        <f>'G9BDL TotalWO'!G26*'G9BDL Input'!$H$13</f>
        <v>529996</v>
      </c>
      <c r="H26" s="59"/>
      <c r="I26" s="59">
        <f t="shared" si="0"/>
        <v>529996</v>
      </c>
    </row>
    <row r="27" spans="1:9">
      <c r="A27" s="48">
        <f t="shared" si="1"/>
        <v>13</v>
      </c>
      <c r="C27" s="55">
        <f t="shared" si="2"/>
        <v>44552</v>
      </c>
      <c r="D27" s="55"/>
      <c r="E27" s="70">
        <f>'G9BDL TotalWO'!E27*'G9BDL Input'!$H$13</f>
        <v>0</v>
      </c>
      <c r="F27" s="68"/>
      <c r="G27" s="71">
        <f>'G9BDL TotalWO'!G27*'G9BDL Input'!$H$13</f>
        <v>529996</v>
      </c>
      <c r="H27" s="59"/>
      <c r="I27" s="61">
        <f t="shared" si="0"/>
        <v>529996</v>
      </c>
    </row>
    <row r="28" spans="1:9">
      <c r="A28" s="48">
        <f t="shared" si="1"/>
        <v>14</v>
      </c>
      <c r="C28" s="62" t="s">
        <v>70</v>
      </c>
      <c r="D28" s="62"/>
      <c r="E28" s="63">
        <f>SUM(E16:E27)</f>
        <v>0</v>
      </c>
      <c r="F28" s="64"/>
      <c r="G28" s="63">
        <f>SUM(G16:G27)</f>
        <v>6359952</v>
      </c>
      <c r="H28" s="64"/>
      <c r="I28" s="63">
        <f>SUM(I16:I27)</f>
        <v>6359952</v>
      </c>
    </row>
    <row r="29" spans="1:9">
      <c r="A29" s="48">
        <f t="shared" si="1"/>
        <v>15</v>
      </c>
      <c r="E29" s="57"/>
      <c r="F29" s="57"/>
      <c r="G29" s="57"/>
      <c r="H29" s="57"/>
      <c r="I29" s="57"/>
    </row>
    <row r="30" spans="1:9" ht="12" thickBot="1">
      <c r="A30" s="48">
        <f t="shared" si="1"/>
        <v>16</v>
      </c>
      <c r="C30" s="65" t="s">
        <v>115</v>
      </c>
      <c r="D30" s="65"/>
      <c r="E30" s="66">
        <f>ROUND(+E28/12,2)</f>
        <v>0</v>
      </c>
      <c r="F30" s="64"/>
      <c r="G30" s="66">
        <f>ROUND(+G28/12,2)</f>
        <v>529996</v>
      </c>
      <c r="H30" s="64"/>
      <c r="I30" s="66">
        <f>ROUND(+I28/12,2)</f>
        <v>529996</v>
      </c>
    </row>
    <row r="31" spans="1:9" ht="12" thickTop="1">
      <c r="A31" s="48">
        <f t="shared" si="1"/>
        <v>17</v>
      </c>
    </row>
    <row r="32" spans="1:9">
      <c r="A32" s="48">
        <f t="shared" si="1"/>
        <v>18</v>
      </c>
      <c r="E32" s="67" t="s">
        <v>10</v>
      </c>
      <c r="F32" s="67"/>
      <c r="G32" s="67" t="s">
        <v>10</v>
      </c>
      <c r="H32" s="67"/>
      <c r="I32" s="67" t="s">
        <v>10</v>
      </c>
    </row>
    <row r="33" spans="1:13" ht="12" thickBot="1">
      <c r="A33" s="48">
        <f t="shared" si="1"/>
        <v>19</v>
      </c>
      <c r="C33" s="62" t="s">
        <v>116</v>
      </c>
      <c r="D33" s="62"/>
      <c r="E33" s="57"/>
      <c r="F33" s="57"/>
      <c r="G33" s="57"/>
      <c r="H33" s="57"/>
      <c r="I33" s="66">
        <f>I30</f>
        <v>529996</v>
      </c>
    </row>
    <row r="34" spans="1:13" ht="12" thickTop="1">
      <c r="A34" s="48">
        <f t="shared" si="1"/>
        <v>20</v>
      </c>
    </row>
    <row r="35" spans="1:13">
      <c r="A35" s="48">
        <f t="shared" si="1"/>
        <v>21</v>
      </c>
      <c r="I35" s="62" t="s">
        <v>117</v>
      </c>
    </row>
    <row r="36" spans="1:13">
      <c r="A36" s="48">
        <f t="shared" si="1"/>
        <v>22</v>
      </c>
      <c r="I36" s="62" t="s">
        <v>372</v>
      </c>
    </row>
    <row r="37" spans="1:13">
      <c r="A37" s="48">
        <f t="shared" si="1"/>
        <v>23</v>
      </c>
    </row>
    <row r="38" spans="1:13">
      <c r="A38" s="48">
        <f t="shared" si="1"/>
        <v>24</v>
      </c>
    </row>
    <row r="39" spans="1:13">
      <c r="A39" s="45"/>
      <c r="B39" s="45"/>
      <c r="C39" s="46"/>
      <c r="D39" s="46"/>
      <c r="E39" s="46"/>
      <c r="F39" s="46"/>
      <c r="G39" s="46"/>
      <c r="H39" s="46"/>
      <c r="I39" s="46"/>
    </row>
    <row r="40" spans="1:13">
      <c r="A40" s="45"/>
      <c r="B40" s="45"/>
      <c r="C40" s="46"/>
      <c r="D40" s="46"/>
      <c r="E40" s="46"/>
      <c r="F40" s="46"/>
      <c r="G40" s="46"/>
      <c r="H40" s="46"/>
      <c r="I40" s="46"/>
    </row>
    <row r="41" spans="1:13" ht="25.5" customHeight="1">
      <c r="A41" s="118" t="str">
        <f>A3</f>
        <v>Pro-Forma Adjustment - System Reliability</v>
      </c>
      <c r="B41" s="118"/>
      <c r="C41" s="118"/>
      <c r="D41" s="118"/>
      <c r="E41" s="118"/>
      <c r="F41" s="118"/>
      <c r="G41" s="118"/>
      <c r="H41" s="118"/>
      <c r="I41" s="118"/>
    </row>
    <row r="42" spans="1:13">
      <c r="A42" s="118"/>
      <c r="B42" s="118"/>
      <c r="C42" s="118"/>
      <c r="D42" s="118"/>
      <c r="E42" s="118"/>
      <c r="F42" s="118"/>
      <c r="G42" s="118"/>
      <c r="H42" s="118"/>
      <c r="I42" s="118"/>
    </row>
    <row r="43" spans="1:13">
      <c r="A43" s="49"/>
      <c r="B43" s="49"/>
      <c r="C43" s="47"/>
      <c r="D43" s="47"/>
      <c r="E43" s="47"/>
      <c r="F43" s="47"/>
      <c r="G43" s="47"/>
      <c r="H43" s="47"/>
      <c r="I43" s="47"/>
    </row>
    <row r="44" spans="1:13">
      <c r="A44" s="49" t="str">
        <f>A6</f>
        <v>2023 Odorizer Replacment - SD</v>
      </c>
      <c r="B44" s="49"/>
      <c r="C44" s="47"/>
      <c r="D44" s="47"/>
      <c r="E44" s="47"/>
      <c r="F44" s="47"/>
      <c r="G44" s="47"/>
      <c r="H44" s="47"/>
      <c r="I44" s="47"/>
    </row>
    <row r="45" spans="1:13">
      <c r="A45" s="49"/>
      <c r="B45" s="49"/>
      <c r="C45" s="47"/>
      <c r="D45" s="47"/>
      <c r="E45" s="47"/>
      <c r="F45" s="47"/>
      <c r="G45" s="47"/>
      <c r="H45" s="47"/>
      <c r="I45" s="47"/>
    </row>
    <row r="46" spans="1:13">
      <c r="A46" s="49" t="s">
        <v>119</v>
      </c>
      <c r="B46" s="49"/>
      <c r="C46" s="47"/>
      <c r="D46" s="47"/>
      <c r="E46" s="47"/>
      <c r="F46" s="47"/>
      <c r="G46" s="47"/>
      <c r="H46" s="47"/>
      <c r="I46" s="47"/>
    </row>
    <row r="47" spans="1:13">
      <c r="A47" s="49" t="s">
        <v>10</v>
      </c>
      <c r="B47" s="49"/>
      <c r="C47" s="47"/>
      <c r="D47" s="47"/>
      <c r="E47" s="47"/>
      <c r="F47" s="47"/>
      <c r="G47" s="47"/>
      <c r="H47" s="47"/>
      <c r="I47" s="47"/>
    </row>
    <row r="48" spans="1:13">
      <c r="K48" s="54" t="s">
        <v>120</v>
      </c>
      <c r="M48" s="54" t="s">
        <v>120</v>
      </c>
    </row>
    <row r="49" spans="1:13" ht="12" thickBot="1">
      <c r="A49" s="75" t="s">
        <v>108</v>
      </c>
      <c r="E49" s="51" t="str">
        <f>E11</f>
        <v>Acct 2.379.00</v>
      </c>
      <c r="F49" s="51"/>
      <c r="G49" s="51"/>
      <c r="H49" s="51"/>
      <c r="I49" s="51"/>
      <c r="K49" s="54" t="s">
        <v>121</v>
      </c>
      <c r="M49" s="54" t="s">
        <v>122</v>
      </c>
    </row>
    <row r="50" spans="1:13" ht="12" thickBot="1">
      <c r="A50" s="96" t="s">
        <v>110</v>
      </c>
      <c r="B50" s="54"/>
      <c r="C50" s="52" t="s">
        <v>111</v>
      </c>
      <c r="D50" s="54"/>
      <c r="E50" s="52" t="s">
        <v>112</v>
      </c>
      <c r="F50" s="54"/>
      <c r="G50" s="52" t="s">
        <v>113</v>
      </c>
      <c r="H50" s="54"/>
      <c r="I50" s="52" t="s">
        <v>114</v>
      </c>
      <c r="K50" s="52" t="s">
        <v>123</v>
      </c>
      <c r="M50" s="52" t="s">
        <v>124</v>
      </c>
    </row>
    <row r="51" spans="1:13">
      <c r="A51" s="54"/>
      <c r="B51" s="54"/>
      <c r="C51" s="102" t="s">
        <v>6</v>
      </c>
      <c r="D51" s="54"/>
      <c r="E51" s="36" t="s">
        <v>7</v>
      </c>
      <c r="F51" s="54"/>
      <c r="G51" s="36" t="s">
        <v>8</v>
      </c>
      <c r="H51" s="97"/>
      <c r="I51" s="36" t="s">
        <v>43</v>
      </c>
      <c r="K51" s="16" t="s">
        <v>44</v>
      </c>
      <c r="M51" s="54" t="s">
        <v>45</v>
      </c>
    </row>
    <row r="52" spans="1:13">
      <c r="A52" s="54"/>
      <c r="B52" s="54"/>
      <c r="C52" s="54"/>
      <c r="D52" s="54"/>
      <c r="E52" s="54"/>
      <c r="F52" s="54"/>
      <c r="G52" s="54"/>
      <c r="H52" s="54"/>
      <c r="I52" s="54"/>
    </row>
    <row r="53" spans="1:13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1204.54</v>
      </c>
      <c r="H53" s="64"/>
      <c r="I53" s="63">
        <f t="shared" ref="I53:I64" si="4">G53-E53</f>
        <v>1204.54</v>
      </c>
      <c r="K53" s="58"/>
      <c r="M53" s="63">
        <f t="shared" ref="M53:M62" si="5">+ROUND(I53/I$67*M$67,2)</f>
        <v>94.86</v>
      </c>
    </row>
    <row r="54" spans="1:13">
      <c r="A54" s="48">
        <f t="shared" ref="A54:A77" si="6">1+A53</f>
        <v>2</v>
      </c>
      <c r="C54" s="55">
        <f t="shared" ref="C54:C64" si="7">C53+31</f>
        <v>44242</v>
      </c>
      <c r="D54" s="55"/>
      <c r="E54" s="68">
        <f t="shared" si="3"/>
        <v>0</v>
      </c>
      <c r="F54" s="72"/>
      <c r="G54" s="68">
        <f t="shared" ref="G54:G64" si="8">ROUND(+G16*$G$73,2)</f>
        <v>1204.54</v>
      </c>
      <c r="H54" s="57"/>
      <c r="I54" s="59">
        <f t="shared" si="4"/>
        <v>1204.54</v>
      </c>
      <c r="M54" s="59">
        <f t="shared" si="5"/>
        <v>94.86</v>
      </c>
    </row>
    <row r="55" spans="1:13">
      <c r="A55" s="48">
        <f t="shared" si="6"/>
        <v>3</v>
      </c>
      <c r="C55" s="55">
        <f t="shared" si="7"/>
        <v>44273</v>
      </c>
      <c r="D55" s="55"/>
      <c r="E55" s="68">
        <f t="shared" si="3"/>
        <v>0</v>
      </c>
      <c r="F55" s="72"/>
      <c r="G55" s="68">
        <f t="shared" si="8"/>
        <v>1204.54</v>
      </c>
      <c r="H55" s="57"/>
      <c r="I55" s="59">
        <f t="shared" si="4"/>
        <v>1204.54</v>
      </c>
      <c r="M55" s="59">
        <f t="shared" si="5"/>
        <v>94.86</v>
      </c>
    </row>
    <row r="56" spans="1:13">
      <c r="A56" s="48">
        <f t="shared" si="6"/>
        <v>4</v>
      </c>
      <c r="C56" s="55">
        <f t="shared" si="7"/>
        <v>44304</v>
      </c>
      <c r="D56" s="55"/>
      <c r="E56" s="68">
        <f t="shared" si="3"/>
        <v>0</v>
      </c>
      <c r="F56" s="72"/>
      <c r="G56" s="68">
        <f t="shared" si="8"/>
        <v>1204.54</v>
      </c>
      <c r="H56" s="57"/>
      <c r="I56" s="59">
        <f t="shared" si="4"/>
        <v>1204.54</v>
      </c>
      <c r="M56" s="59">
        <f t="shared" si="5"/>
        <v>94.86</v>
      </c>
    </row>
    <row r="57" spans="1:13">
      <c r="A57" s="48">
        <f t="shared" si="6"/>
        <v>5</v>
      </c>
      <c r="C57" s="55">
        <f t="shared" si="7"/>
        <v>44335</v>
      </c>
      <c r="D57" s="55"/>
      <c r="E57" s="68">
        <f t="shared" si="3"/>
        <v>0</v>
      </c>
      <c r="F57" s="72"/>
      <c r="G57" s="68">
        <f t="shared" si="8"/>
        <v>1204.54</v>
      </c>
      <c r="H57" s="57"/>
      <c r="I57" s="59">
        <f t="shared" si="4"/>
        <v>1204.54</v>
      </c>
      <c r="M57" s="59">
        <f t="shared" si="5"/>
        <v>94.86</v>
      </c>
    </row>
    <row r="58" spans="1:13">
      <c r="A58" s="48">
        <f t="shared" si="6"/>
        <v>6</v>
      </c>
      <c r="C58" s="55">
        <f t="shared" si="7"/>
        <v>44366</v>
      </c>
      <c r="D58" s="55"/>
      <c r="E58" s="68">
        <f t="shared" si="3"/>
        <v>0</v>
      </c>
      <c r="F58" s="72"/>
      <c r="G58" s="68">
        <f t="shared" si="8"/>
        <v>1204.54</v>
      </c>
      <c r="H58" s="57"/>
      <c r="I58" s="59">
        <f t="shared" si="4"/>
        <v>1204.54</v>
      </c>
      <c r="M58" s="59">
        <f t="shared" si="5"/>
        <v>94.86</v>
      </c>
    </row>
    <row r="59" spans="1:13">
      <c r="A59" s="48">
        <f t="shared" si="6"/>
        <v>7</v>
      </c>
      <c r="C59" s="55">
        <f t="shared" si="7"/>
        <v>44397</v>
      </c>
      <c r="D59" s="55"/>
      <c r="E59" s="68">
        <f t="shared" si="3"/>
        <v>0</v>
      </c>
      <c r="F59" s="72"/>
      <c r="G59" s="68">
        <f t="shared" si="8"/>
        <v>1204.54</v>
      </c>
      <c r="H59" s="57"/>
      <c r="I59" s="59">
        <f t="shared" si="4"/>
        <v>1204.54</v>
      </c>
      <c r="M59" s="59">
        <f t="shared" si="5"/>
        <v>94.86</v>
      </c>
    </row>
    <row r="60" spans="1:13">
      <c r="A60" s="48">
        <f t="shared" si="6"/>
        <v>8</v>
      </c>
      <c r="C60" s="55">
        <f t="shared" si="7"/>
        <v>44428</v>
      </c>
      <c r="D60" s="55"/>
      <c r="E60" s="68">
        <f t="shared" si="3"/>
        <v>0</v>
      </c>
      <c r="F60" s="72"/>
      <c r="G60" s="68">
        <f t="shared" si="8"/>
        <v>1204.54</v>
      </c>
      <c r="H60" s="57"/>
      <c r="I60" s="59">
        <f t="shared" si="4"/>
        <v>1204.54</v>
      </c>
      <c r="M60" s="59">
        <f t="shared" si="5"/>
        <v>94.86</v>
      </c>
    </row>
    <row r="61" spans="1:13">
      <c r="A61" s="48">
        <f t="shared" si="6"/>
        <v>9</v>
      </c>
      <c r="C61" s="55">
        <f t="shared" si="7"/>
        <v>44459</v>
      </c>
      <c r="D61" s="55"/>
      <c r="E61" s="68">
        <f t="shared" si="3"/>
        <v>0</v>
      </c>
      <c r="F61" s="72"/>
      <c r="G61" s="68">
        <f t="shared" si="8"/>
        <v>1204.54</v>
      </c>
      <c r="H61" s="57"/>
      <c r="I61" s="59">
        <f t="shared" si="4"/>
        <v>1204.54</v>
      </c>
      <c r="M61" s="59">
        <f t="shared" si="5"/>
        <v>94.86</v>
      </c>
    </row>
    <row r="62" spans="1:13">
      <c r="A62" s="48">
        <f t="shared" si="6"/>
        <v>10</v>
      </c>
      <c r="C62" s="55">
        <f t="shared" si="7"/>
        <v>44490</v>
      </c>
      <c r="D62" s="55"/>
      <c r="E62" s="68">
        <f t="shared" si="3"/>
        <v>0</v>
      </c>
      <c r="F62" s="72"/>
      <c r="G62" s="68">
        <f t="shared" si="8"/>
        <v>1204.54</v>
      </c>
      <c r="H62" s="57"/>
      <c r="I62" s="59">
        <f t="shared" si="4"/>
        <v>1204.54</v>
      </c>
      <c r="M62" s="59">
        <f t="shared" si="5"/>
        <v>94.86</v>
      </c>
    </row>
    <row r="63" spans="1:13">
      <c r="A63" s="48">
        <f t="shared" si="6"/>
        <v>11</v>
      </c>
      <c r="C63" s="55">
        <f t="shared" si="7"/>
        <v>44521</v>
      </c>
      <c r="D63" s="55"/>
      <c r="E63" s="68">
        <f t="shared" si="3"/>
        <v>0</v>
      </c>
      <c r="F63" s="72"/>
      <c r="G63" s="68">
        <f t="shared" si="8"/>
        <v>1204.54</v>
      </c>
      <c r="H63" s="57"/>
      <c r="I63" s="59">
        <f t="shared" si="4"/>
        <v>1204.54</v>
      </c>
      <c r="M63" s="59">
        <f>+ROUND(I63/I$67*M$67,2)+0.01</f>
        <v>94.87</v>
      </c>
    </row>
    <row r="64" spans="1:13">
      <c r="A64" s="48">
        <f t="shared" si="6"/>
        <v>12</v>
      </c>
      <c r="C64" s="55">
        <f t="shared" si="7"/>
        <v>44552</v>
      </c>
      <c r="D64" s="55"/>
      <c r="E64" s="71">
        <f t="shared" si="3"/>
        <v>0</v>
      </c>
      <c r="F64" s="72"/>
      <c r="G64" s="71">
        <f t="shared" si="8"/>
        <v>1204.54</v>
      </c>
      <c r="H64" s="57"/>
      <c r="I64" s="61">
        <f t="shared" si="4"/>
        <v>1204.54</v>
      </c>
      <c r="M64" s="61">
        <f>+ROUND(I64/I$67*M$67,2)+0.01</f>
        <v>94.87</v>
      </c>
    </row>
    <row r="65" spans="1:13">
      <c r="A65" s="48">
        <f t="shared" si="6"/>
        <v>13</v>
      </c>
      <c r="C65" s="62" t="s">
        <v>70</v>
      </c>
      <c r="D65" s="62"/>
      <c r="E65" s="63">
        <f>SUM(E53:E64)</f>
        <v>0</v>
      </c>
      <c r="F65" s="64"/>
      <c r="G65" s="63">
        <f>SUM(G53:G64)</f>
        <v>14454.480000000003</v>
      </c>
      <c r="H65" s="64"/>
      <c r="I65" s="63">
        <f>SUM(I53:I64)</f>
        <v>14454.480000000003</v>
      </c>
      <c r="M65" s="63">
        <f>SUM(M53:M64)</f>
        <v>1138.3400000000001</v>
      </c>
    </row>
    <row r="66" spans="1:13">
      <c r="A66" s="48">
        <f t="shared" si="6"/>
        <v>14</v>
      </c>
      <c r="E66" s="67" t="s">
        <v>10</v>
      </c>
      <c r="F66" s="67"/>
      <c r="G66" s="67" t="s">
        <v>10</v>
      </c>
      <c r="H66" s="67"/>
      <c r="I66" s="67" t="s">
        <v>10</v>
      </c>
    </row>
    <row r="67" spans="1:13" ht="12" thickBot="1">
      <c r="A67" s="48">
        <f t="shared" si="6"/>
        <v>15</v>
      </c>
      <c r="C67" s="62" t="s">
        <v>116</v>
      </c>
      <c r="D67" s="62"/>
      <c r="E67" s="64"/>
      <c r="F67" s="64"/>
      <c r="G67" s="64"/>
      <c r="H67" s="64"/>
      <c r="I67" s="66">
        <f>I65</f>
        <v>14454.480000000003</v>
      </c>
      <c r="K67" s="66">
        <f>ROUND(G16*K73,2)</f>
        <v>19874.849999999999</v>
      </c>
      <c r="M67" s="66">
        <f>ROUND(+(K67-I67)*M73,2)</f>
        <v>1138.28</v>
      </c>
    </row>
    <row r="68" spans="1:13" ht="12" thickTop="1">
      <c r="A68" s="48">
        <f t="shared" si="6"/>
        <v>16</v>
      </c>
      <c r="E68" s="57"/>
      <c r="F68" s="57"/>
      <c r="G68" s="57"/>
      <c r="H68" s="57"/>
      <c r="I68" s="62" t="s">
        <v>117</v>
      </c>
    </row>
    <row r="69" spans="1:13">
      <c r="A69" s="48">
        <f t="shared" si="6"/>
        <v>17</v>
      </c>
      <c r="I69" s="62" t="s">
        <v>373</v>
      </c>
      <c r="M69" s="54" t="s">
        <v>120</v>
      </c>
    </row>
    <row r="70" spans="1:13">
      <c r="A70" s="48">
        <f t="shared" si="6"/>
        <v>18</v>
      </c>
      <c r="K70" s="54" t="s">
        <v>126</v>
      </c>
      <c r="M70" s="54" t="s">
        <v>127</v>
      </c>
    </row>
    <row r="71" spans="1:13">
      <c r="A71" s="48">
        <f t="shared" si="6"/>
        <v>19</v>
      </c>
      <c r="E71" s="73" t="s">
        <v>128</v>
      </c>
      <c r="F71" s="73"/>
      <c r="G71" s="73" t="s">
        <v>129</v>
      </c>
      <c r="K71" s="54" t="s">
        <v>130</v>
      </c>
      <c r="M71" s="54" t="s">
        <v>131</v>
      </c>
    </row>
    <row r="72" spans="1:13" ht="12" thickBot="1">
      <c r="A72" s="48">
        <f t="shared" si="6"/>
        <v>20</v>
      </c>
      <c r="E72" s="74" t="s">
        <v>132</v>
      </c>
      <c r="F72" s="73"/>
      <c r="G72" s="74" t="s">
        <v>132</v>
      </c>
      <c r="K72" s="74" t="s">
        <v>133</v>
      </c>
      <c r="M72" s="74" t="s">
        <v>134</v>
      </c>
    </row>
    <row r="73" spans="1:13">
      <c r="A73" s="48">
        <f t="shared" si="6"/>
        <v>21</v>
      </c>
      <c r="C73" s="75" t="str">
        <f>E49</f>
        <v>Acct 2.379.00</v>
      </c>
      <c r="D73" s="75"/>
      <c r="E73" s="76">
        <f>'G9BDL Input'!J13</f>
        <v>2.7272727272727271E-2</v>
      </c>
      <c r="F73" s="76"/>
      <c r="G73" s="76">
        <f>E73/12</f>
        <v>2.2727272727272726E-3</v>
      </c>
      <c r="K73" s="86">
        <f>+'G9BDL Input'!L13</f>
        <v>3.7499999999999999E-2</v>
      </c>
      <c r="M73" s="87">
        <f>+'G9BDL Input'!N13</f>
        <v>0.21</v>
      </c>
    </row>
    <row r="74" spans="1:13">
      <c r="A74" s="48">
        <f t="shared" si="6"/>
        <v>22</v>
      </c>
      <c r="H74" s="67"/>
      <c r="I74" s="57"/>
      <c r="K74" s="54" t="s">
        <v>135</v>
      </c>
    </row>
    <row r="75" spans="1:13">
      <c r="A75" s="48">
        <f t="shared" si="6"/>
        <v>23</v>
      </c>
      <c r="H75" s="76"/>
      <c r="I75" s="57"/>
    </row>
    <row r="76" spans="1:13">
      <c r="A76" s="48">
        <f t="shared" si="6"/>
        <v>24</v>
      </c>
    </row>
    <row r="77" spans="1:13">
      <c r="A77" s="48">
        <f t="shared" si="6"/>
        <v>25</v>
      </c>
      <c r="H77" s="76"/>
      <c r="I77" s="57"/>
    </row>
    <row r="78" spans="1:13">
      <c r="A78" s="45"/>
      <c r="B78" s="45"/>
      <c r="C78" s="46"/>
      <c r="D78" s="46"/>
      <c r="E78" s="46"/>
      <c r="F78" s="46"/>
      <c r="G78" s="46"/>
      <c r="H78" s="46"/>
      <c r="I78" s="46"/>
    </row>
    <row r="79" spans="1:13">
      <c r="A79" s="45"/>
      <c r="B79" s="45"/>
      <c r="C79" s="46"/>
      <c r="D79" s="46"/>
      <c r="E79" s="46"/>
      <c r="F79" s="46"/>
      <c r="G79" s="46"/>
      <c r="H79" s="46"/>
      <c r="I79" s="46"/>
    </row>
    <row r="80" spans="1:13" ht="24.75" customHeight="1">
      <c r="A80" s="118" t="str">
        <f>A3</f>
        <v>Pro-Forma Adjustment - System Reliability</v>
      </c>
      <c r="B80" s="118"/>
      <c r="C80" s="118"/>
      <c r="D80" s="118"/>
      <c r="E80" s="118"/>
      <c r="F80" s="118"/>
      <c r="G80" s="118"/>
      <c r="H80" s="118"/>
      <c r="I80" s="118"/>
    </row>
    <row r="81" spans="1:13">
      <c r="A81" s="118"/>
      <c r="B81" s="118"/>
      <c r="C81" s="118"/>
      <c r="D81" s="118"/>
      <c r="E81" s="118"/>
      <c r="F81" s="118"/>
      <c r="G81" s="118"/>
      <c r="H81" s="118"/>
      <c r="I81" s="118"/>
    </row>
    <row r="82" spans="1:13">
      <c r="A82" s="49"/>
      <c r="B82" s="49"/>
      <c r="C82" s="47"/>
      <c r="D82" s="47"/>
      <c r="E82" s="47"/>
      <c r="F82" s="47"/>
      <c r="G82" s="47"/>
      <c r="H82" s="47"/>
      <c r="I82" s="47"/>
    </row>
    <row r="83" spans="1:13">
      <c r="A83" s="49" t="str">
        <f>A6</f>
        <v>2023 Odorizer Replacment - SD</v>
      </c>
      <c r="B83" s="49"/>
      <c r="C83" s="47"/>
      <c r="D83" s="47"/>
      <c r="E83" s="47"/>
      <c r="F83" s="47"/>
      <c r="G83" s="47"/>
      <c r="H83" s="47"/>
      <c r="I83" s="47"/>
    </row>
    <row r="84" spans="1:13">
      <c r="A84" s="49"/>
      <c r="B84" s="49"/>
      <c r="C84" s="47"/>
      <c r="D84" s="47"/>
      <c r="E84" s="47"/>
      <c r="F84" s="47"/>
      <c r="G84" s="47"/>
      <c r="H84" s="47"/>
      <c r="I84" s="47"/>
    </row>
    <row r="85" spans="1:13">
      <c r="A85" s="49" t="s">
        <v>136</v>
      </c>
      <c r="B85" s="49"/>
      <c r="C85" s="47"/>
      <c r="D85" s="47"/>
      <c r="E85" s="47"/>
      <c r="F85" s="47"/>
      <c r="G85" s="47"/>
      <c r="H85" s="47"/>
      <c r="I85" s="47"/>
    </row>
    <row r="86" spans="1:13">
      <c r="A86" s="49" t="s">
        <v>10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>
      <c r="A88" s="75" t="s">
        <v>108</v>
      </c>
      <c r="E88" s="51" t="str">
        <f>E11</f>
        <v>Acct 2.379.00</v>
      </c>
      <c r="F88" s="51"/>
      <c r="G88" s="51"/>
      <c r="H88" s="51"/>
      <c r="I88" s="51"/>
      <c r="M88" s="54" t="s">
        <v>137</v>
      </c>
    </row>
    <row r="89" spans="1:13" ht="12" thickBot="1">
      <c r="A89" s="96" t="s">
        <v>110</v>
      </c>
      <c r="B89" s="54"/>
      <c r="C89" s="52" t="s">
        <v>111</v>
      </c>
      <c r="D89" s="54"/>
      <c r="E89" s="52" t="s">
        <v>112</v>
      </c>
      <c r="F89" s="54"/>
      <c r="G89" s="52" t="s">
        <v>113</v>
      </c>
      <c r="H89" s="54"/>
      <c r="I89" s="52" t="s">
        <v>114</v>
      </c>
      <c r="M89" s="52" t="s">
        <v>138</v>
      </c>
    </row>
    <row r="90" spans="1:13">
      <c r="A90" s="54"/>
      <c r="B90" s="54"/>
      <c r="C90" s="102" t="s">
        <v>6</v>
      </c>
      <c r="D90" s="54"/>
      <c r="E90" s="36" t="s">
        <v>7</v>
      </c>
      <c r="F90" s="54"/>
      <c r="G90" s="36" t="s">
        <v>8</v>
      </c>
      <c r="H90" s="97"/>
      <c r="I90" s="36" t="s">
        <v>43</v>
      </c>
      <c r="K90" s="16" t="s">
        <v>44</v>
      </c>
      <c r="M90" s="54" t="s">
        <v>45</v>
      </c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</row>
    <row r="92" spans="1:13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1204.54</v>
      </c>
      <c r="H93" s="57"/>
      <c r="I93" s="58">
        <f t="shared" si="9"/>
        <v>1204.54</v>
      </c>
      <c r="M93" s="58">
        <f>+M53</f>
        <v>94.86</v>
      </c>
    </row>
    <row r="94" spans="1:13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2409.08</v>
      </c>
      <c r="H94" s="57"/>
      <c r="I94" s="59">
        <f t="shared" si="9"/>
        <v>2409.08</v>
      </c>
      <c r="M94" s="59">
        <f t="shared" ref="M94:M104" si="14">+M93+M54</f>
        <v>189.72</v>
      </c>
    </row>
    <row r="95" spans="1:13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3613.62</v>
      </c>
      <c r="H95" s="57"/>
      <c r="I95" s="59">
        <f t="shared" si="9"/>
        <v>3613.62</v>
      </c>
      <c r="M95" s="59">
        <f t="shared" si="14"/>
        <v>284.58</v>
      </c>
    </row>
    <row r="96" spans="1:13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4818.16</v>
      </c>
      <c r="H96" s="57"/>
      <c r="I96" s="59">
        <f t="shared" si="9"/>
        <v>4818.16</v>
      </c>
      <c r="M96" s="59">
        <f t="shared" si="14"/>
        <v>379.44</v>
      </c>
    </row>
    <row r="97" spans="1:13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6022.7</v>
      </c>
      <c r="H97" s="57"/>
      <c r="I97" s="59">
        <f t="shared" si="9"/>
        <v>6022.7</v>
      </c>
      <c r="M97" s="59">
        <f t="shared" si="14"/>
        <v>474.3</v>
      </c>
    </row>
    <row r="98" spans="1:13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7227.24</v>
      </c>
      <c r="H98" s="57"/>
      <c r="I98" s="59">
        <f t="shared" si="9"/>
        <v>7227.24</v>
      </c>
      <c r="M98" s="59">
        <f t="shared" si="14"/>
        <v>569.16</v>
      </c>
    </row>
    <row r="99" spans="1:13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8431.7799999999988</v>
      </c>
      <c r="H99" s="57"/>
      <c r="I99" s="59">
        <f t="shared" si="9"/>
        <v>8431.7799999999988</v>
      </c>
      <c r="M99" s="59">
        <f t="shared" si="14"/>
        <v>664.02</v>
      </c>
    </row>
    <row r="100" spans="1:13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9636.32</v>
      </c>
      <c r="H100" s="57"/>
      <c r="I100" s="59">
        <f t="shared" si="9"/>
        <v>9636.32</v>
      </c>
      <c r="M100" s="59">
        <f t="shared" si="14"/>
        <v>758.88</v>
      </c>
    </row>
    <row r="101" spans="1:13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10840.86</v>
      </c>
      <c r="H101" s="57"/>
      <c r="I101" s="59">
        <f t="shared" si="9"/>
        <v>10840.86</v>
      </c>
      <c r="M101" s="59">
        <f t="shared" si="14"/>
        <v>853.74</v>
      </c>
    </row>
    <row r="102" spans="1:13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12045.400000000001</v>
      </c>
      <c r="H102" s="57"/>
      <c r="I102" s="59">
        <f t="shared" si="9"/>
        <v>12045.400000000001</v>
      </c>
      <c r="M102" s="59">
        <f t="shared" si="14"/>
        <v>948.6</v>
      </c>
    </row>
    <row r="103" spans="1:13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13249.940000000002</v>
      </c>
      <c r="H103" s="57"/>
      <c r="I103" s="59">
        <f t="shared" si="9"/>
        <v>13249.940000000002</v>
      </c>
      <c r="M103" s="59">
        <f t="shared" si="14"/>
        <v>1043.47</v>
      </c>
    </row>
    <row r="104" spans="1:13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14454.480000000003</v>
      </c>
      <c r="H104" s="57"/>
      <c r="I104" s="61">
        <f t="shared" si="9"/>
        <v>14454.480000000003</v>
      </c>
      <c r="M104" s="61">
        <f t="shared" si="14"/>
        <v>1138.3400000000001</v>
      </c>
    </row>
    <row r="105" spans="1:13">
      <c r="A105" s="48">
        <f t="shared" si="10"/>
        <v>14</v>
      </c>
      <c r="C105" s="62" t="s">
        <v>70</v>
      </c>
      <c r="D105" s="62"/>
      <c r="E105" s="63">
        <f>SUM(E93:E104)</f>
        <v>0</v>
      </c>
      <c r="F105" s="64"/>
      <c r="G105" s="63">
        <f>SUM(G93:G104)</f>
        <v>93954.12</v>
      </c>
      <c r="H105" s="64"/>
      <c r="I105" s="63">
        <f>SUM(I93:I104)</f>
        <v>93954.12</v>
      </c>
      <c r="M105" s="63">
        <f>SUM(M93:M104)</f>
        <v>7399.1100000000006</v>
      </c>
    </row>
    <row r="106" spans="1:13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>
      <c r="A107" s="48">
        <f t="shared" si="10"/>
        <v>16</v>
      </c>
      <c r="C107" s="77" t="s">
        <v>139</v>
      </c>
      <c r="D107" s="77"/>
      <c r="E107" s="66">
        <f>ROUND(+E105/12,2)</f>
        <v>0</v>
      </c>
      <c r="F107" s="64"/>
      <c r="G107" s="66">
        <f>ROUND(+G105/12,2)</f>
        <v>7829.51</v>
      </c>
      <c r="H107" s="64"/>
      <c r="I107" s="66">
        <f>ROUND(+I105/12,2)</f>
        <v>7829.51</v>
      </c>
      <c r="M107" s="66">
        <f>ROUND(+M105/12,2)</f>
        <v>616.59</v>
      </c>
    </row>
    <row r="108" spans="1:13" ht="12" thickTop="1">
      <c r="A108" s="48">
        <f t="shared" si="10"/>
        <v>17</v>
      </c>
      <c r="E108" s="67" t="s">
        <v>10</v>
      </c>
      <c r="F108" s="67"/>
      <c r="G108" s="67" t="s">
        <v>10</v>
      </c>
      <c r="H108" s="67"/>
      <c r="I108" s="67" t="s">
        <v>10</v>
      </c>
    </row>
    <row r="109" spans="1:13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>
      <c r="A110" s="48">
        <f t="shared" si="10"/>
        <v>19</v>
      </c>
      <c r="C110" s="62" t="s">
        <v>116</v>
      </c>
      <c r="D110" s="62"/>
      <c r="E110" s="57"/>
      <c r="F110" s="57"/>
      <c r="G110" s="57"/>
      <c r="H110" s="57"/>
      <c r="I110" s="78">
        <f>I107</f>
        <v>7829.51</v>
      </c>
      <c r="M110" s="78">
        <f>+M107</f>
        <v>616.59</v>
      </c>
    </row>
    <row r="111" spans="1:13" ht="12" thickTop="1">
      <c r="A111" s="48">
        <f t="shared" si="10"/>
        <v>20</v>
      </c>
      <c r="E111" s="57"/>
      <c r="F111" s="57"/>
      <c r="G111" s="57"/>
      <c r="H111" s="57"/>
      <c r="I111" s="62" t="s">
        <v>117</v>
      </c>
      <c r="M111" s="62" t="s">
        <v>117</v>
      </c>
    </row>
    <row r="112" spans="1:13">
      <c r="A112" s="48">
        <f t="shared" si="10"/>
        <v>21</v>
      </c>
      <c r="I112" s="62" t="s">
        <v>374</v>
      </c>
      <c r="M112" s="62" t="s">
        <v>375</v>
      </c>
    </row>
    <row r="113" spans="1:9">
      <c r="A113" s="48">
        <f t="shared" si="10"/>
        <v>22</v>
      </c>
    </row>
    <row r="114" spans="1:9">
      <c r="A114" s="48">
        <f t="shared" si="10"/>
        <v>23</v>
      </c>
      <c r="E114" s="73" t="s">
        <v>128</v>
      </c>
      <c r="F114" s="73"/>
      <c r="G114" s="73" t="s">
        <v>129</v>
      </c>
    </row>
    <row r="115" spans="1:9" ht="12" thickBot="1">
      <c r="A115" s="48">
        <f t="shared" si="10"/>
        <v>24</v>
      </c>
      <c r="E115" s="74" t="s">
        <v>132</v>
      </c>
      <c r="F115" s="73"/>
      <c r="G115" s="74" t="s">
        <v>132</v>
      </c>
    </row>
    <row r="116" spans="1:9">
      <c r="A116" s="48">
        <f t="shared" si="10"/>
        <v>25</v>
      </c>
      <c r="C116" s="75" t="str">
        <f>C73</f>
        <v>Acct 2.379.00</v>
      </c>
      <c r="D116" s="75"/>
      <c r="E116" s="79">
        <f>E73</f>
        <v>2.7272727272727271E-2</v>
      </c>
      <c r="F116" s="79"/>
      <c r="G116" s="79">
        <f>G73</f>
        <v>2.2727272727272726E-3</v>
      </c>
    </row>
    <row r="117" spans="1:9">
      <c r="A117" s="48">
        <f t="shared" si="10"/>
        <v>26</v>
      </c>
      <c r="E117" s="57"/>
      <c r="F117" s="57"/>
      <c r="G117" s="57"/>
      <c r="H117" s="57"/>
      <c r="I117" s="57"/>
    </row>
    <row r="118" spans="1:9">
      <c r="A118" s="48">
        <f t="shared" si="10"/>
        <v>27</v>
      </c>
      <c r="H118" s="57"/>
      <c r="I118" s="57"/>
    </row>
    <row r="119" spans="1:9">
      <c r="A119" s="48">
        <f t="shared" si="10"/>
        <v>28</v>
      </c>
    </row>
    <row r="120" spans="1:9">
      <c r="A120" s="48">
        <f t="shared" si="10"/>
        <v>29</v>
      </c>
    </row>
    <row r="121" spans="1:9">
      <c r="A121" s="48">
        <f t="shared" si="10"/>
        <v>30</v>
      </c>
    </row>
  </sheetData>
  <mergeCells count="7">
    <mergeCell ref="A81:I81"/>
    <mergeCell ref="A2:I2"/>
    <mergeCell ref="A3:I3"/>
    <mergeCell ref="A6:I6"/>
    <mergeCell ref="A41:I41"/>
    <mergeCell ref="A42:I42"/>
    <mergeCell ref="A80:I80"/>
  </mergeCells>
  <pageMargins left="0.75" right="0.75" top="1" bottom="1" header="0.5" footer="0.5"/>
  <pageSetup scale="96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2" manualBreakCount="2">
    <brk id="38" max="16383" man="1"/>
    <brk id="77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E60E-1A48-48CF-BF97-88395C15C93E}">
  <dimension ref="A1:N76"/>
  <sheetViews>
    <sheetView view="pageLayout" zoomScaleNormal="100" workbookViewId="0">
      <selection sqref="A1:XFD1048576"/>
    </sheetView>
  </sheetViews>
  <sheetFormatPr defaultRowHeight="11.25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4" ht="12.7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2"/>
      <c r="L1" s="122"/>
      <c r="M1" s="122"/>
      <c r="N1" s="122"/>
    </row>
    <row r="2" spans="1:14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2"/>
      <c r="L2" s="122"/>
      <c r="M2" s="122"/>
      <c r="N2" s="122"/>
    </row>
    <row r="3" spans="1:14" ht="27.75" customHeight="1">
      <c r="A3" s="121" t="str">
        <f>'G9BDL Input'!A3:J3</f>
        <v>Pro-Forma Adjustment - System Reliability</v>
      </c>
      <c r="B3" s="123"/>
      <c r="C3" s="123"/>
      <c r="D3" s="123"/>
      <c r="E3" s="123"/>
      <c r="F3" s="123"/>
      <c r="G3" s="123"/>
      <c r="H3" s="123"/>
      <c r="I3" s="123"/>
      <c r="J3" s="123"/>
      <c r="K3" s="122"/>
      <c r="L3" s="122"/>
      <c r="M3" s="122"/>
      <c r="N3" s="122"/>
    </row>
    <row r="4" spans="1:14" ht="12.7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  <c r="M4" s="122"/>
      <c r="N4" s="122"/>
    </row>
    <row r="5" spans="1:14" ht="12.7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2"/>
      <c r="L5" s="122"/>
      <c r="M5" s="122"/>
      <c r="N5" s="122"/>
    </row>
    <row r="6" spans="1:14" ht="12.75">
      <c r="A6" s="121" t="str">
        <f>'G9BDL Input'!F6</f>
        <v>2023 Odorizer Replacment - SD</v>
      </c>
      <c r="B6" s="121"/>
      <c r="C6" s="121"/>
      <c r="D6" s="121"/>
      <c r="E6" s="121"/>
      <c r="F6" s="121"/>
      <c r="G6" s="121"/>
      <c r="H6" s="121"/>
      <c r="I6" s="121"/>
      <c r="J6" s="121"/>
      <c r="K6" s="122"/>
      <c r="L6" s="122"/>
      <c r="M6" s="122"/>
      <c r="N6" s="122"/>
    </row>
    <row r="9" spans="1:14">
      <c r="B9" s="81"/>
      <c r="D9" s="82"/>
    </row>
    <row r="10" spans="1:14">
      <c r="B10" s="81"/>
      <c r="D10" s="82"/>
    </row>
    <row r="13" spans="1:14">
      <c r="B13" s="81"/>
      <c r="D13" s="82"/>
    </row>
    <row r="14" spans="1:14">
      <c r="B14" s="81"/>
      <c r="D14" s="82"/>
    </row>
    <row r="15" spans="1:14">
      <c r="B15" s="81"/>
      <c r="D15" s="82"/>
    </row>
    <row r="16" spans="1:14">
      <c r="B16" s="81"/>
      <c r="D16" s="82"/>
    </row>
    <row r="17" spans="2:4">
      <c r="B17" s="81"/>
      <c r="D17" s="82"/>
    </row>
    <row r="18" spans="2:4">
      <c r="B18" s="81"/>
      <c r="D18" s="82"/>
    </row>
    <row r="19" spans="2:4">
      <c r="B19" s="81"/>
      <c r="D19" s="82"/>
    </row>
    <row r="20" spans="2:4">
      <c r="B20" s="81"/>
      <c r="D20" s="82"/>
    </row>
    <row r="21" spans="2:4">
      <c r="B21" s="81"/>
      <c r="D21" s="82"/>
    </row>
    <row r="22" spans="2:4">
      <c r="B22" s="81"/>
      <c r="D22" s="82"/>
    </row>
    <row r="23" spans="2:4">
      <c r="B23" s="81"/>
      <c r="D23" s="82"/>
    </row>
    <row r="24" spans="2:4">
      <c r="B24" s="81"/>
      <c r="D24" s="82"/>
    </row>
    <row r="25" spans="2:4">
      <c r="B25" s="81"/>
      <c r="D25" s="82"/>
    </row>
    <row r="26" spans="2:4">
      <c r="B26" s="81"/>
      <c r="D26" s="82"/>
    </row>
    <row r="27" spans="2:4">
      <c r="B27" s="81"/>
      <c r="D27" s="82"/>
    </row>
    <row r="28" spans="2:4">
      <c r="B28" s="81"/>
      <c r="D28" s="82"/>
    </row>
    <row r="29" spans="2:4">
      <c r="B29" s="81"/>
      <c r="D29" s="82"/>
    </row>
    <row r="30" spans="2:4">
      <c r="B30" s="81"/>
      <c r="D30" s="82"/>
    </row>
    <row r="31" spans="2:4">
      <c r="B31" s="81"/>
      <c r="D31" s="82"/>
    </row>
    <row r="32" spans="2:4">
      <c r="B32" s="81"/>
      <c r="D32" s="82"/>
    </row>
    <row r="33" spans="2:4">
      <c r="B33" s="81"/>
      <c r="D33" s="82"/>
    </row>
    <row r="34" spans="2:4">
      <c r="B34" s="81"/>
      <c r="D34" s="82"/>
    </row>
    <row r="35" spans="2:4">
      <c r="B35" s="81"/>
      <c r="D35" s="82"/>
    </row>
    <row r="36" spans="2:4">
      <c r="B36" s="81"/>
      <c r="D36" s="82"/>
    </row>
    <row r="37" spans="2:4">
      <c r="B37" s="81"/>
      <c r="D37" s="82"/>
    </row>
    <row r="38" spans="2:4">
      <c r="B38" s="81"/>
      <c r="D38" s="82"/>
    </row>
    <row r="39" spans="2:4">
      <c r="B39" s="81"/>
      <c r="D39" s="82"/>
    </row>
    <row r="40" spans="2:4">
      <c r="B40" s="81"/>
      <c r="D40" s="82"/>
    </row>
    <row r="41" spans="2:4">
      <c r="B41" s="81"/>
      <c r="D41" s="82"/>
    </row>
    <row r="42" spans="2:4">
      <c r="B42" s="81"/>
      <c r="D42" s="82"/>
    </row>
    <row r="43" spans="2:4">
      <c r="B43" s="81"/>
      <c r="D43" s="82"/>
    </row>
    <row r="44" spans="2:4">
      <c r="B44" s="81"/>
      <c r="D44" s="82"/>
    </row>
    <row r="45" spans="2:4">
      <c r="B45" s="81"/>
      <c r="D45" s="82"/>
    </row>
    <row r="46" spans="2:4">
      <c r="B46" s="81"/>
      <c r="D46" s="82"/>
    </row>
    <row r="47" spans="2:4">
      <c r="B47" s="81"/>
      <c r="D47" s="82"/>
    </row>
    <row r="48" spans="2:4">
      <c r="B48" s="81"/>
      <c r="D48" s="82"/>
    </row>
    <row r="49" spans="2:4">
      <c r="B49" s="81"/>
      <c r="D49" s="82"/>
    </row>
    <row r="50" spans="2:4">
      <c r="B50" s="81"/>
      <c r="D50" s="82"/>
    </row>
    <row r="51" spans="2:4">
      <c r="B51" s="81"/>
      <c r="D51" s="82"/>
    </row>
    <row r="52" spans="2:4">
      <c r="B52" s="81"/>
      <c r="D52" s="82"/>
    </row>
    <row r="53" spans="2:4">
      <c r="B53" s="81"/>
      <c r="D53" s="82"/>
    </row>
    <row r="54" spans="2:4">
      <c r="B54" s="81"/>
      <c r="D54" s="82"/>
    </row>
    <row r="55" spans="2:4">
      <c r="B55" s="81"/>
      <c r="D55" s="82"/>
    </row>
    <row r="56" spans="2:4">
      <c r="B56" s="81"/>
      <c r="D56" s="82"/>
    </row>
    <row r="57" spans="2:4">
      <c r="B57" s="81"/>
      <c r="D57" s="82"/>
    </row>
    <row r="58" spans="2:4">
      <c r="B58" s="81"/>
      <c r="D58" s="82"/>
    </row>
    <row r="59" spans="2:4">
      <c r="B59" s="81"/>
      <c r="D59" s="82"/>
    </row>
    <row r="60" spans="2:4">
      <c r="B60" s="81"/>
      <c r="D60" s="82"/>
    </row>
    <row r="61" spans="2:4">
      <c r="B61" s="81"/>
      <c r="D61" s="82"/>
    </row>
    <row r="62" spans="2:4">
      <c r="B62" s="81"/>
      <c r="D62" s="82"/>
    </row>
    <row r="63" spans="2:4">
      <c r="B63" s="81"/>
      <c r="D63" s="82"/>
    </row>
    <row r="64" spans="2:4">
      <c r="B64" s="81"/>
      <c r="D64" s="82"/>
    </row>
    <row r="65" spans="1:14">
      <c r="B65" s="81"/>
      <c r="D65" s="82"/>
    </row>
    <row r="66" spans="1:14">
      <c r="B66" s="81"/>
      <c r="D66" s="82"/>
    </row>
    <row r="67" spans="1:14">
      <c r="B67" s="81"/>
      <c r="D67" s="82"/>
    </row>
    <row r="68" spans="1:14">
      <c r="B68" s="81"/>
      <c r="D68" s="82"/>
    </row>
    <row r="71" spans="1:14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2"/>
      <c r="L71" s="122"/>
      <c r="M71" s="122"/>
      <c r="N71" s="122"/>
    </row>
    <row r="72" spans="1:14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2"/>
      <c r="L72" s="122"/>
      <c r="M72" s="122"/>
      <c r="N72" s="122"/>
    </row>
    <row r="73" spans="1:14" ht="12.75">
      <c r="A73" s="123" t="str">
        <f>A3</f>
        <v>Pro-Forma Adjustment - System Reliability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2"/>
      <c r="L73" s="122"/>
      <c r="M73" s="122"/>
      <c r="N73" s="122"/>
    </row>
    <row r="74" spans="1:14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2"/>
      <c r="L74" s="122"/>
      <c r="M74" s="122"/>
      <c r="N74" s="122"/>
    </row>
    <row r="75" spans="1:14" ht="12.75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2"/>
      <c r="L75" s="122"/>
      <c r="M75" s="122"/>
      <c r="N75" s="122"/>
    </row>
    <row r="76" spans="1:14" ht="12.75">
      <c r="A76" s="121" t="str">
        <f>A6</f>
        <v>2023 Odorizer Replacment - SD</v>
      </c>
      <c r="B76" s="121"/>
      <c r="C76" s="121"/>
      <c r="D76" s="121"/>
      <c r="E76" s="121"/>
      <c r="F76" s="121"/>
      <c r="G76" s="121"/>
      <c r="H76" s="121"/>
      <c r="I76" s="121"/>
      <c r="J76" s="121"/>
      <c r="K76" s="122"/>
      <c r="L76" s="122"/>
      <c r="M76" s="122"/>
      <c r="N76" s="122"/>
    </row>
  </sheetData>
  <mergeCells count="12">
    <mergeCell ref="A74:N74"/>
    <mergeCell ref="A75:N75"/>
    <mergeCell ref="A76:N76"/>
    <mergeCell ref="A1:N1"/>
    <mergeCell ref="A2:N2"/>
    <mergeCell ref="A3:N3"/>
    <mergeCell ref="A4:N4"/>
    <mergeCell ref="A5:N5"/>
    <mergeCell ref="A6:N6"/>
    <mergeCell ref="A71:N71"/>
    <mergeCell ref="A72:N72"/>
    <mergeCell ref="A73:N73"/>
  </mergeCells>
  <pageMargins left="0.75" right="0.75" top="1" bottom="1" header="0.5" footer="0.5"/>
  <pageSetup scale="78" orientation="portrait" r:id="rId1"/>
  <headerFooter alignWithMargins="0">
    <oddHeader>&amp;CExhibit ASR 1.1, WP C
System Reliability
Test Year Ending December 31, 2021
Utility: MidAmerican Energy Company
Docket No. NG22-___
Individual Responsible: Aimee S. Rooney</oddHeader>
    <oddFooter>&amp;C&amp;8Exhibit ASR 1.1, WP C
Page &amp;P of &amp;N</oddFooter>
  </headerFooter>
  <rowBreaks count="1" manualBreakCount="1">
    <brk id="7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5DBFD-4C44-48C6-A493-1E45EDC97C99}"/>
</file>

<file path=customXml/itemProps2.xml><?xml version="1.0" encoding="utf-8"?>
<ds:datastoreItem xmlns:ds="http://schemas.openxmlformats.org/officeDocument/2006/customXml" ds:itemID="{ED2FBB43-0EE0-4563-B688-BF8F11D37E00}"/>
</file>

<file path=customXml/itemProps3.xml><?xml version="1.0" encoding="utf-8"?>
<ds:datastoreItem xmlns:ds="http://schemas.openxmlformats.org/officeDocument/2006/customXml" ds:itemID="{E86D234C-F4AA-4178-9DAC-AF0D9B3BE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MidAmerican Energy Holdings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Book, Bryce (MidAmerican)</cp:lastModifiedBy>
  <cp:revision/>
  <dcterms:created xsi:type="dcterms:W3CDTF">2014-02-18T02:22:57Z</dcterms:created>
  <dcterms:modified xsi:type="dcterms:W3CDTF">2022-05-13T12:34:30Z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