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19\El19-041\"/>
    </mc:Choice>
  </mc:AlternateContent>
  <xr:revisionPtr revIDLastSave="0" documentId="8_{717A1F36-E997-43F4-90D7-4B7527733D17}" xr6:coauthVersionLast="41" xr6:coauthVersionMax="41" xr10:uidLastSave="{00000000-0000-0000-0000-000000000000}"/>
  <bookViews>
    <workbookView xWindow="28680" yWindow="-120" windowWidth="29040" windowHeight="15840" tabRatio="741" xr2:uid="{00000000-000D-0000-FFFF-FFFF00000000}"/>
  </bookViews>
  <sheets>
    <sheet name="Att A pg 1" sheetId="20" r:id="rId1"/>
    <sheet name="Att A pg 2" sheetId="19" r:id="rId2"/>
    <sheet name="Att A pg 3-5" sheetId="21" r:id="rId3"/>
    <sheet name="Att A wp 1" sheetId="22" r:id="rId4"/>
    <sheet name="Att A wp 2" sheetId="23" r:id="rId5"/>
    <sheet name="Att A wp 3" sheetId="25" r:id="rId6"/>
    <sheet name="Att A wp 4" sheetId="26" r:id="rId7"/>
    <sheet name="Att A wp 5" sheetId="27" r:id="rId8"/>
    <sheet name="Att A wp 6" sheetId="28" r:id="rId9"/>
    <sheet name="Att A wp 7" sheetId="29" r:id="rId10"/>
    <sheet name="Att A wp 8" sheetId="30" r:id="rId11"/>
    <sheet name="Att A wp 9" sheetId="31" r:id="rId12"/>
    <sheet name="Att A wp 10" sheetId="32" r:id="rId13"/>
    <sheet name="Att A wp11" sheetId="33" r:id="rId14"/>
    <sheet name="Att A wp 12" sheetId="34" r:id="rId15"/>
    <sheet name="Att A wp 13" sheetId="35" r:id="rId16"/>
    <sheet name="Att A wp 14" sheetId="36" r:id="rId17"/>
    <sheet name="Att B" sheetId="24" r:id="rId18"/>
  </sheets>
  <externalReferences>
    <externalReference r:id="rId19"/>
  </externalReferences>
  <definedNames>
    <definedName name="\Q">'Att B'!#REF!</definedName>
    <definedName name="asdf">'[1]Main Page'!#REF!</definedName>
    <definedName name="CenterLine1">'[1]Main Page'!#REF!</definedName>
    <definedName name="CenterLine2">'[1]Main Page'!#REF!</definedName>
    <definedName name="CenterLine3">'[1]Main Page'!#REF!</definedName>
    <definedName name="LeftLine1">'[1]Main Page'!#REF!</definedName>
    <definedName name="LeftLine2">'[1]Main Page'!#REF!</definedName>
    <definedName name="LeftLine3">'[1]Main Page'!#REF!</definedName>
    <definedName name="_xlnm.Print_Area" localSheetId="0">'Att A pg 1'!$A$1:$H$32</definedName>
    <definedName name="_xlnm.Print_Area" localSheetId="1">'Att A pg 2'!$A$1:$G$20</definedName>
    <definedName name="_xlnm.Print_Area" localSheetId="2">'Att A pg 3-5'!$A$1:$O$95</definedName>
    <definedName name="_xlnm.Print_Area" localSheetId="3">'Att A wp 1'!$A$1:$G$46</definedName>
    <definedName name="_xlnm.Print_Area" localSheetId="12">'Att A wp 10'!$A$1:$P$77</definedName>
    <definedName name="_xlnm.Print_Area" localSheetId="14">'Att A wp 12'!$A$1:$P$77</definedName>
    <definedName name="_xlnm.Print_Area" localSheetId="15">'Att A wp 13'!$A$1:$P$77</definedName>
    <definedName name="_xlnm.Print_Area" localSheetId="16">'Att A wp 14'!$A$1:$P$77</definedName>
    <definedName name="_xlnm.Print_Area" localSheetId="4">'Att A wp 2'!$A$1:$C$36</definedName>
    <definedName name="_xlnm.Print_Area" localSheetId="5">'Att A wp 3'!$A$1:$P$77</definedName>
    <definedName name="_xlnm.Print_Area" localSheetId="6">'Att A wp 4'!$A$1:$P$77</definedName>
    <definedName name="_xlnm.Print_Area" localSheetId="7">'Att A wp 5'!$A$1:$P$77</definedName>
    <definedName name="_xlnm.Print_Area" localSheetId="8">'Att A wp 6'!$A$1:$P$77</definedName>
    <definedName name="_xlnm.Print_Area" localSheetId="9">'Att A wp 7'!$A$1:$P$77</definedName>
    <definedName name="_xlnm.Print_Area" localSheetId="10">'Att A wp 8'!$A$1:$P$77</definedName>
    <definedName name="_xlnm.Print_Area" localSheetId="11">'Att A wp 9'!$A$1:$P$77</definedName>
    <definedName name="_xlnm.Print_Area" localSheetId="13">'Att A wp11'!$A$1:$P$77</definedName>
    <definedName name="_xlnm.Print_Area" localSheetId="17">'Att B'!$A$1:$P$51</definedName>
    <definedName name="_xlnm.Print_Titles" localSheetId="2">'Att A pg 3-5'!$1:$10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9" i="36" l="1"/>
  <c r="I69" i="36"/>
  <c r="J68" i="36"/>
  <c r="I68" i="36"/>
  <c r="J67" i="36"/>
  <c r="I67" i="36" s="1"/>
  <c r="J66" i="36"/>
  <c r="I66" i="36"/>
  <c r="J65" i="36"/>
  <c r="I65" i="36"/>
  <c r="J64" i="36"/>
  <c r="I64" i="36"/>
  <c r="J63" i="36"/>
  <c r="I63" i="36"/>
  <c r="J62" i="36"/>
  <c r="I62" i="36"/>
  <c r="J61" i="36"/>
  <c r="I61" i="36"/>
  <c r="J60" i="36"/>
  <c r="I60" i="36"/>
  <c r="J59" i="36"/>
  <c r="I59" i="36"/>
  <c r="J58" i="36"/>
  <c r="I58" i="36"/>
  <c r="J57" i="36"/>
  <c r="I57" i="36" s="1"/>
  <c r="J56" i="36"/>
  <c r="I56" i="36"/>
  <c r="J55" i="36"/>
  <c r="I55" i="36" s="1"/>
  <c r="J54" i="36"/>
  <c r="I54" i="36"/>
  <c r="J53" i="36"/>
  <c r="I53" i="36" s="1"/>
  <c r="J52" i="36"/>
  <c r="I52" i="36"/>
  <c r="C43" i="36"/>
  <c r="C44" i="36" s="1"/>
  <c r="M28" i="36"/>
  <c r="L28" i="36"/>
  <c r="K28" i="36"/>
  <c r="J28" i="36"/>
  <c r="N28" i="36" s="1"/>
  <c r="C28" i="36"/>
  <c r="P27" i="36"/>
  <c r="O27" i="36"/>
  <c r="P26" i="36"/>
  <c r="O26" i="36"/>
  <c r="P25" i="36"/>
  <c r="O25" i="36"/>
  <c r="P24" i="36"/>
  <c r="O24" i="36"/>
  <c r="P23" i="36"/>
  <c r="O23" i="36"/>
  <c r="P22" i="36"/>
  <c r="O22" i="36"/>
  <c r="P21" i="36"/>
  <c r="O21" i="36"/>
  <c r="P20" i="36"/>
  <c r="O20" i="36"/>
  <c r="P19" i="36"/>
  <c r="O19" i="36"/>
  <c r="P18" i="36"/>
  <c r="O18" i="36"/>
  <c r="P17" i="36"/>
  <c r="O17" i="36"/>
  <c r="P16" i="36"/>
  <c r="O16" i="36"/>
  <c r="P15" i="36"/>
  <c r="O15" i="36"/>
  <c r="P14" i="36"/>
  <c r="O14" i="36"/>
  <c r="P13" i="36"/>
  <c r="O13" i="36"/>
  <c r="P12" i="36"/>
  <c r="O12" i="36"/>
  <c r="P11" i="36"/>
  <c r="O11" i="36"/>
  <c r="P10" i="36"/>
  <c r="O10" i="36"/>
  <c r="P9" i="36"/>
  <c r="O9" i="36"/>
  <c r="P8" i="36"/>
  <c r="O8" i="36"/>
  <c r="P7" i="36"/>
  <c r="O7" i="36"/>
  <c r="P6" i="36"/>
  <c r="O6" i="36"/>
  <c r="P5" i="36"/>
  <c r="O5" i="36"/>
  <c r="P4" i="36"/>
  <c r="O4" i="36"/>
  <c r="P3" i="36"/>
  <c r="P28" i="36" s="1"/>
  <c r="O28" i="36" s="1"/>
  <c r="O3" i="36"/>
  <c r="J69" i="35"/>
  <c r="I69" i="35"/>
  <c r="J68" i="35"/>
  <c r="I68" i="35"/>
  <c r="J67" i="35"/>
  <c r="I67" i="35"/>
  <c r="J66" i="35"/>
  <c r="I66" i="35"/>
  <c r="J65" i="35"/>
  <c r="I65" i="35"/>
  <c r="J64" i="35"/>
  <c r="I64" i="35"/>
  <c r="J63" i="35"/>
  <c r="I63" i="35"/>
  <c r="J62" i="35"/>
  <c r="I62" i="35"/>
  <c r="J61" i="35"/>
  <c r="I61" i="35"/>
  <c r="J60" i="35"/>
  <c r="I60" i="35"/>
  <c r="J59" i="35"/>
  <c r="I59" i="35"/>
  <c r="J58" i="35"/>
  <c r="I58" i="35"/>
  <c r="J57" i="35"/>
  <c r="I57" i="35"/>
  <c r="J56" i="35"/>
  <c r="I56" i="35"/>
  <c r="J55" i="35"/>
  <c r="I55" i="35"/>
  <c r="J54" i="35"/>
  <c r="I54" i="35"/>
  <c r="J53" i="35"/>
  <c r="I53" i="35"/>
  <c r="J52" i="35"/>
  <c r="I52" i="35"/>
  <c r="C43" i="35"/>
  <c r="C44" i="35" s="1"/>
  <c r="M28" i="35"/>
  <c r="L28" i="35"/>
  <c r="K28" i="35"/>
  <c r="J28" i="35"/>
  <c r="N28" i="35" s="1"/>
  <c r="C28" i="35"/>
  <c r="P27" i="35"/>
  <c r="O27" i="35" s="1"/>
  <c r="P26" i="35"/>
  <c r="O26" i="35"/>
  <c r="P25" i="35"/>
  <c r="O25" i="35" s="1"/>
  <c r="P24" i="35"/>
  <c r="O24" i="35"/>
  <c r="P23" i="35"/>
  <c r="O23" i="35"/>
  <c r="P22" i="35"/>
  <c r="O22" i="35"/>
  <c r="P21" i="35"/>
  <c r="O21" i="35" s="1"/>
  <c r="P20" i="35"/>
  <c r="O20" i="35"/>
  <c r="P19" i="35"/>
  <c r="O19" i="35"/>
  <c r="P18" i="35"/>
  <c r="O18" i="35"/>
  <c r="P17" i="35"/>
  <c r="O17" i="35" s="1"/>
  <c r="P16" i="35"/>
  <c r="O16" i="35"/>
  <c r="P15" i="35"/>
  <c r="O15" i="35" s="1"/>
  <c r="P14" i="35"/>
  <c r="O14" i="35"/>
  <c r="P13" i="35"/>
  <c r="O13" i="35"/>
  <c r="P12" i="35"/>
  <c r="O12" i="35"/>
  <c r="P11" i="35"/>
  <c r="O11" i="35"/>
  <c r="P10" i="35"/>
  <c r="O10" i="35"/>
  <c r="P9" i="35"/>
  <c r="O9" i="35"/>
  <c r="P8" i="35"/>
  <c r="O8" i="35"/>
  <c r="P7" i="35"/>
  <c r="O7" i="35" s="1"/>
  <c r="P6" i="35"/>
  <c r="O6" i="35"/>
  <c r="P5" i="35"/>
  <c r="O5" i="35" s="1"/>
  <c r="P4" i="35"/>
  <c r="O4" i="35"/>
  <c r="P3" i="35"/>
  <c r="P28" i="35" s="1"/>
  <c r="O28" i="35" s="1"/>
  <c r="J69" i="34"/>
  <c r="I69" i="34"/>
  <c r="J68" i="34"/>
  <c r="I68" i="34" s="1"/>
  <c r="J67" i="34"/>
  <c r="I67" i="34" s="1"/>
  <c r="J66" i="34"/>
  <c r="I66" i="34" s="1"/>
  <c r="J65" i="34"/>
  <c r="I65" i="34" s="1"/>
  <c r="J64" i="34"/>
  <c r="I64" i="34" s="1"/>
  <c r="J63" i="34"/>
  <c r="I63" i="34"/>
  <c r="J62" i="34"/>
  <c r="I62" i="34"/>
  <c r="J61" i="34"/>
  <c r="I61" i="34"/>
  <c r="J60" i="34"/>
  <c r="I60" i="34"/>
  <c r="J59" i="34"/>
  <c r="I59" i="34"/>
  <c r="J58" i="34"/>
  <c r="I58" i="34" s="1"/>
  <c r="J57" i="34"/>
  <c r="I57" i="34" s="1"/>
  <c r="J56" i="34"/>
  <c r="I56" i="34" s="1"/>
  <c r="J55" i="34"/>
  <c r="I55" i="34" s="1"/>
  <c r="J54" i="34"/>
  <c r="I54" i="34" s="1"/>
  <c r="J53" i="34"/>
  <c r="I53" i="34" s="1"/>
  <c r="J52" i="34"/>
  <c r="I52" i="34" s="1"/>
  <c r="C44" i="34"/>
  <c r="D43" i="34" s="1"/>
  <c r="C43" i="34"/>
  <c r="D41" i="34"/>
  <c r="M28" i="34"/>
  <c r="L28" i="34"/>
  <c r="K28" i="34"/>
  <c r="J28" i="34"/>
  <c r="N28" i="34" s="1"/>
  <c r="C28" i="34"/>
  <c r="O28" i="34" s="1"/>
  <c r="P27" i="34"/>
  <c r="O27" i="34"/>
  <c r="P26" i="34"/>
  <c r="O26" i="34"/>
  <c r="P25" i="34"/>
  <c r="O25" i="34"/>
  <c r="P24" i="34"/>
  <c r="O24" i="34"/>
  <c r="P23" i="34"/>
  <c r="O23" i="34"/>
  <c r="P22" i="34"/>
  <c r="O22" i="34"/>
  <c r="P21" i="34"/>
  <c r="O21" i="34"/>
  <c r="P20" i="34"/>
  <c r="O20" i="34"/>
  <c r="P19" i="34"/>
  <c r="O19" i="34"/>
  <c r="P18" i="34"/>
  <c r="O18" i="34"/>
  <c r="P17" i="34"/>
  <c r="O17" i="34"/>
  <c r="P16" i="34"/>
  <c r="O16" i="34"/>
  <c r="P15" i="34"/>
  <c r="O15" i="34"/>
  <c r="P14" i="34"/>
  <c r="O14" i="34"/>
  <c r="P13" i="34"/>
  <c r="O13" i="34"/>
  <c r="P12" i="34"/>
  <c r="O12" i="34"/>
  <c r="P11" i="34"/>
  <c r="O11" i="34"/>
  <c r="P10" i="34"/>
  <c r="O10" i="34"/>
  <c r="P9" i="34"/>
  <c r="O9" i="34"/>
  <c r="P8" i="34"/>
  <c r="O8" i="34"/>
  <c r="P7" i="34"/>
  <c r="O7" i="34"/>
  <c r="P6" i="34"/>
  <c r="O6" i="34"/>
  <c r="P5" i="34"/>
  <c r="O5" i="34"/>
  <c r="P4" i="34"/>
  <c r="O4" i="34"/>
  <c r="P3" i="34"/>
  <c r="P28" i="34" s="1"/>
  <c r="O3" i="34"/>
  <c r="J69" i="33"/>
  <c r="I69" i="33"/>
  <c r="J68" i="33"/>
  <c r="I68" i="33"/>
  <c r="J67" i="33"/>
  <c r="I67" i="33"/>
  <c r="J66" i="33"/>
  <c r="I66" i="33"/>
  <c r="J65" i="33"/>
  <c r="I65" i="33"/>
  <c r="J64" i="33"/>
  <c r="I64" i="33"/>
  <c r="J63" i="33"/>
  <c r="I63" i="33"/>
  <c r="J62" i="33"/>
  <c r="I62" i="33"/>
  <c r="J61" i="33"/>
  <c r="I61" i="33"/>
  <c r="J60" i="33"/>
  <c r="I60" i="33"/>
  <c r="J59" i="33"/>
  <c r="I59" i="33"/>
  <c r="J58" i="33"/>
  <c r="I58" i="33"/>
  <c r="J57" i="33"/>
  <c r="I57" i="33"/>
  <c r="J56" i="33"/>
  <c r="I56" i="33"/>
  <c r="J55" i="33"/>
  <c r="I55" i="33"/>
  <c r="J54" i="33"/>
  <c r="I54" i="33"/>
  <c r="J53" i="33"/>
  <c r="I53" i="33"/>
  <c r="J52" i="33"/>
  <c r="I52" i="33"/>
  <c r="C42" i="33"/>
  <c r="C41" i="33" s="1"/>
  <c r="C44" i="33" s="1"/>
  <c r="M28" i="33"/>
  <c r="L28" i="33"/>
  <c r="K28" i="33"/>
  <c r="J28" i="33"/>
  <c r="N28" i="33" s="1"/>
  <c r="C28" i="33"/>
  <c r="P27" i="33"/>
  <c r="O27" i="33"/>
  <c r="P26" i="33"/>
  <c r="O26" i="33"/>
  <c r="P25" i="33"/>
  <c r="O25" i="33"/>
  <c r="P24" i="33"/>
  <c r="O24" i="33"/>
  <c r="P23" i="33"/>
  <c r="O23" i="33"/>
  <c r="P22" i="33"/>
  <c r="O22" i="33"/>
  <c r="P21" i="33"/>
  <c r="O21" i="33"/>
  <c r="P20" i="33"/>
  <c r="O20" i="33"/>
  <c r="P19" i="33"/>
  <c r="O19" i="33"/>
  <c r="P18" i="33"/>
  <c r="O18" i="33"/>
  <c r="P17" i="33"/>
  <c r="O17" i="33"/>
  <c r="P16" i="33"/>
  <c r="O16" i="33"/>
  <c r="P15" i="33"/>
  <c r="O15" i="33"/>
  <c r="P14" i="33"/>
  <c r="O14" i="33"/>
  <c r="P13" i="33"/>
  <c r="O13" i="33"/>
  <c r="P12" i="33"/>
  <c r="O12" i="33"/>
  <c r="P11" i="33"/>
  <c r="O11" i="33"/>
  <c r="P10" i="33"/>
  <c r="O10" i="33"/>
  <c r="P9" i="33"/>
  <c r="O9" i="33"/>
  <c r="P8" i="33"/>
  <c r="O8" i="33"/>
  <c r="P7" i="33"/>
  <c r="O7" i="33"/>
  <c r="P6" i="33"/>
  <c r="O6" i="33"/>
  <c r="P5" i="33"/>
  <c r="O5" i="33"/>
  <c r="P4" i="33"/>
  <c r="O4" i="33"/>
  <c r="P3" i="33"/>
  <c r="P28" i="33" s="1"/>
  <c r="O28" i="33" s="1"/>
  <c r="O3" i="33"/>
  <c r="J69" i="32"/>
  <c r="I69" i="32"/>
  <c r="J68" i="32"/>
  <c r="I68" i="32"/>
  <c r="J67" i="32"/>
  <c r="I67" i="32"/>
  <c r="J66" i="32"/>
  <c r="I66" i="32"/>
  <c r="J65" i="32"/>
  <c r="I65" i="32"/>
  <c r="J64" i="32"/>
  <c r="I64" i="32"/>
  <c r="J63" i="32"/>
  <c r="I63" i="32"/>
  <c r="J62" i="32"/>
  <c r="I62" i="32"/>
  <c r="J61" i="32"/>
  <c r="I61" i="32"/>
  <c r="J60" i="32"/>
  <c r="I60" i="32"/>
  <c r="J59" i="32"/>
  <c r="I59" i="32"/>
  <c r="J58" i="32"/>
  <c r="I58" i="32"/>
  <c r="J57" i="32"/>
  <c r="I57" i="32"/>
  <c r="J56" i="32"/>
  <c r="I56" i="32"/>
  <c r="J55" i="32"/>
  <c r="I55" i="32"/>
  <c r="J54" i="32"/>
  <c r="I54" i="32"/>
  <c r="J53" i="32"/>
  <c r="I53" i="32"/>
  <c r="J52" i="32"/>
  <c r="I52" i="32"/>
  <c r="C42" i="32"/>
  <c r="C41" i="32" s="1"/>
  <c r="C44" i="32" s="1"/>
  <c r="M28" i="32"/>
  <c r="L28" i="32"/>
  <c r="K28" i="32"/>
  <c r="J28" i="32"/>
  <c r="N28" i="32" s="1"/>
  <c r="C28" i="32"/>
  <c r="O28" i="32" s="1"/>
  <c r="P27" i="32"/>
  <c r="O27" i="32"/>
  <c r="P26" i="32"/>
  <c r="O26" i="32"/>
  <c r="P25" i="32"/>
  <c r="O25" i="32"/>
  <c r="P24" i="32"/>
  <c r="O24" i="32"/>
  <c r="P23" i="32"/>
  <c r="O23" i="32"/>
  <c r="P22" i="32"/>
  <c r="O22" i="32"/>
  <c r="P21" i="32"/>
  <c r="O21" i="32"/>
  <c r="P20" i="32"/>
  <c r="O20" i="32"/>
  <c r="P19" i="32"/>
  <c r="O19" i="32"/>
  <c r="P18" i="32"/>
  <c r="O18" i="32"/>
  <c r="P17" i="32"/>
  <c r="O17" i="32"/>
  <c r="P16" i="32"/>
  <c r="O16" i="32"/>
  <c r="P15" i="32"/>
  <c r="O15" i="32"/>
  <c r="P14" i="32"/>
  <c r="O14" i="32"/>
  <c r="P13" i="32"/>
  <c r="O13" i="32"/>
  <c r="P12" i="32"/>
  <c r="O12" i="32"/>
  <c r="P11" i="32"/>
  <c r="O11" i="32"/>
  <c r="P10" i="32"/>
  <c r="O10" i="32"/>
  <c r="P9" i="32"/>
  <c r="O9" i="32"/>
  <c r="P8" i="32"/>
  <c r="O8" i="32"/>
  <c r="P7" i="32"/>
  <c r="O7" i="32"/>
  <c r="P6" i="32"/>
  <c r="O6" i="32"/>
  <c r="P5" i="32"/>
  <c r="O5" i="32"/>
  <c r="P4" i="32"/>
  <c r="O4" i="32"/>
  <c r="P3" i="32"/>
  <c r="P28" i="32" s="1"/>
  <c r="O3" i="32"/>
  <c r="J69" i="31"/>
  <c r="I69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9" i="31"/>
  <c r="I59" i="31"/>
  <c r="J58" i="31"/>
  <c r="I58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C42" i="31"/>
  <c r="C41" i="31" s="1"/>
  <c r="C44" i="31" s="1"/>
  <c r="M28" i="31"/>
  <c r="L28" i="31"/>
  <c r="K28" i="31"/>
  <c r="J28" i="31"/>
  <c r="N28" i="31" s="1"/>
  <c r="C28" i="31"/>
  <c r="P27" i="31"/>
  <c r="O27" i="31"/>
  <c r="P26" i="31"/>
  <c r="O26" i="31"/>
  <c r="P25" i="31"/>
  <c r="O25" i="31"/>
  <c r="P24" i="31"/>
  <c r="O24" i="31"/>
  <c r="P23" i="31"/>
  <c r="O23" i="31"/>
  <c r="P22" i="31"/>
  <c r="O22" i="31"/>
  <c r="P21" i="31"/>
  <c r="O21" i="31"/>
  <c r="P20" i="31"/>
  <c r="O20" i="31"/>
  <c r="P19" i="31"/>
  <c r="O19" i="31"/>
  <c r="P18" i="31"/>
  <c r="O18" i="31"/>
  <c r="P17" i="31"/>
  <c r="O17" i="31"/>
  <c r="P16" i="31"/>
  <c r="O16" i="31"/>
  <c r="P15" i="31"/>
  <c r="O15" i="31"/>
  <c r="P14" i="31"/>
  <c r="O14" i="31"/>
  <c r="P13" i="31"/>
  <c r="O13" i="31"/>
  <c r="P12" i="31"/>
  <c r="O12" i="31"/>
  <c r="P11" i="31"/>
  <c r="O11" i="31"/>
  <c r="P10" i="31"/>
  <c r="O10" i="31"/>
  <c r="P9" i="31"/>
  <c r="O9" i="31"/>
  <c r="P8" i="31"/>
  <c r="O8" i="31"/>
  <c r="P7" i="31"/>
  <c r="O7" i="31"/>
  <c r="P6" i="31"/>
  <c r="O6" i="31"/>
  <c r="P5" i="31"/>
  <c r="O5" i="31"/>
  <c r="P4" i="31"/>
  <c r="O4" i="31"/>
  <c r="P3" i="31"/>
  <c r="P28" i="31" s="1"/>
  <c r="O28" i="31" s="1"/>
  <c r="O3" i="31"/>
  <c r="J69" i="30"/>
  <c r="I69" i="30"/>
  <c r="J68" i="30"/>
  <c r="I68" i="30"/>
  <c r="J67" i="30"/>
  <c r="I67" i="30"/>
  <c r="J66" i="30"/>
  <c r="I66" i="30"/>
  <c r="J65" i="30"/>
  <c r="I65" i="30"/>
  <c r="J64" i="30"/>
  <c r="I64" i="30"/>
  <c r="J63" i="30"/>
  <c r="I63" i="30"/>
  <c r="J62" i="30"/>
  <c r="I62" i="30"/>
  <c r="J61" i="30"/>
  <c r="I61" i="30"/>
  <c r="J60" i="30"/>
  <c r="I60" i="30"/>
  <c r="J59" i="30"/>
  <c r="I59" i="30"/>
  <c r="J58" i="30"/>
  <c r="I58" i="30"/>
  <c r="J57" i="30"/>
  <c r="I57" i="30"/>
  <c r="J56" i="30"/>
  <c r="I56" i="30"/>
  <c r="J55" i="30"/>
  <c r="I55" i="30"/>
  <c r="J54" i="30"/>
  <c r="I54" i="30"/>
  <c r="J53" i="30"/>
  <c r="I53" i="30"/>
  <c r="J52" i="30"/>
  <c r="I52" i="30"/>
  <c r="C42" i="30"/>
  <c r="C41" i="30"/>
  <c r="C44" i="30" s="1"/>
  <c r="M28" i="30"/>
  <c r="L28" i="30"/>
  <c r="K28" i="30"/>
  <c r="J28" i="30"/>
  <c r="N28" i="30" s="1"/>
  <c r="C28" i="30"/>
  <c r="O28" i="30" s="1"/>
  <c r="P27" i="30"/>
  <c r="O27" i="30"/>
  <c r="P26" i="30"/>
  <c r="O26" i="30"/>
  <c r="P25" i="30"/>
  <c r="O25" i="30"/>
  <c r="P24" i="30"/>
  <c r="O24" i="30"/>
  <c r="P23" i="30"/>
  <c r="O23" i="30"/>
  <c r="P22" i="30"/>
  <c r="O22" i="30"/>
  <c r="P21" i="30"/>
  <c r="O21" i="30"/>
  <c r="P20" i="30"/>
  <c r="O20" i="30"/>
  <c r="P19" i="30"/>
  <c r="O19" i="30"/>
  <c r="P18" i="30"/>
  <c r="O18" i="30"/>
  <c r="P17" i="30"/>
  <c r="O17" i="30"/>
  <c r="P16" i="30"/>
  <c r="O16" i="30"/>
  <c r="P15" i="30"/>
  <c r="O15" i="30"/>
  <c r="P14" i="30"/>
  <c r="O14" i="30"/>
  <c r="P13" i="30"/>
  <c r="O13" i="30"/>
  <c r="P12" i="30"/>
  <c r="O12" i="30"/>
  <c r="P11" i="30"/>
  <c r="O11" i="30"/>
  <c r="P10" i="30"/>
  <c r="O10" i="30"/>
  <c r="P9" i="30"/>
  <c r="O9" i="30"/>
  <c r="P8" i="30"/>
  <c r="O8" i="30"/>
  <c r="P7" i="30"/>
  <c r="O7" i="30"/>
  <c r="P6" i="30"/>
  <c r="O6" i="30"/>
  <c r="P5" i="30"/>
  <c r="O5" i="30"/>
  <c r="P4" i="30"/>
  <c r="O4" i="30"/>
  <c r="P3" i="30"/>
  <c r="P28" i="30" s="1"/>
  <c r="O3" i="30"/>
  <c r="J69" i="29"/>
  <c r="I69" i="29"/>
  <c r="J68" i="29"/>
  <c r="I68" i="29"/>
  <c r="J67" i="29"/>
  <c r="I67" i="29"/>
  <c r="J66" i="29"/>
  <c r="I66" i="29"/>
  <c r="J65" i="29"/>
  <c r="I65" i="29"/>
  <c r="J64" i="29"/>
  <c r="I64" i="29"/>
  <c r="J63" i="29"/>
  <c r="I63" i="29"/>
  <c r="J62" i="29"/>
  <c r="I62" i="29"/>
  <c r="J61" i="29"/>
  <c r="I61" i="29"/>
  <c r="J60" i="29"/>
  <c r="I60" i="29"/>
  <c r="J59" i="29"/>
  <c r="I59" i="29"/>
  <c r="J58" i="29"/>
  <c r="I58" i="29"/>
  <c r="J57" i="29"/>
  <c r="I57" i="29"/>
  <c r="J56" i="29"/>
  <c r="I56" i="29"/>
  <c r="J55" i="29"/>
  <c r="I55" i="29"/>
  <c r="J54" i="29"/>
  <c r="I54" i="29"/>
  <c r="J53" i="29"/>
  <c r="I53" i="29"/>
  <c r="J52" i="29"/>
  <c r="I52" i="29"/>
  <c r="C44" i="29"/>
  <c r="D43" i="29"/>
  <c r="C43" i="29"/>
  <c r="D42" i="29"/>
  <c r="D44" i="29" s="1"/>
  <c r="D41" i="29"/>
  <c r="E44" i="29" s="1"/>
  <c r="M28" i="29"/>
  <c r="L28" i="29"/>
  <c r="K28" i="29"/>
  <c r="J28" i="29"/>
  <c r="N28" i="29" s="1"/>
  <c r="C28" i="29"/>
  <c r="P27" i="29"/>
  <c r="O27" i="29" s="1"/>
  <c r="P26" i="29"/>
  <c r="O26" i="29"/>
  <c r="P25" i="29"/>
  <c r="O25" i="29" s="1"/>
  <c r="P24" i="29"/>
  <c r="O24" i="29" s="1"/>
  <c r="P23" i="29"/>
  <c r="O23" i="29"/>
  <c r="P22" i="29"/>
  <c r="O22" i="29"/>
  <c r="P21" i="29"/>
  <c r="O21" i="29" s="1"/>
  <c r="P20" i="29"/>
  <c r="O20" i="29" s="1"/>
  <c r="P19" i="29"/>
  <c r="O19" i="29"/>
  <c r="P18" i="29"/>
  <c r="O18" i="29"/>
  <c r="P17" i="29"/>
  <c r="O17" i="29" s="1"/>
  <c r="P16" i="29"/>
  <c r="O16" i="29"/>
  <c r="P15" i="29"/>
  <c r="O15" i="29" s="1"/>
  <c r="P14" i="29"/>
  <c r="O14" i="29" s="1"/>
  <c r="P13" i="29"/>
  <c r="O13" i="29"/>
  <c r="P12" i="29"/>
  <c r="O12" i="29" s="1"/>
  <c r="P11" i="29"/>
  <c r="O11" i="29"/>
  <c r="P10" i="29"/>
  <c r="O10" i="29" s="1"/>
  <c r="P9" i="29"/>
  <c r="O9" i="29"/>
  <c r="P8" i="29"/>
  <c r="O8" i="29"/>
  <c r="P7" i="29"/>
  <c r="O7" i="29" s="1"/>
  <c r="P6" i="29"/>
  <c r="O6" i="29" s="1"/>
  <c r="P5" i="29"/>
  <c r="O5" i="29" s="1"/>
  <c r="P4" i="29"/>
  <c r="O4" i="29" s="1"/>
  <c r="P3" i="29"/>
  <c r="P28" i="29" s="1"/>
  <c r="J69" i="28"/>
  <c r="I69" i="28"/>
  <c r="J68" i="28"/>
  <c r="I68" i="28" s="1"/>
  <c r="J67" i="28"/>
  <c r="I67" i="28" s="1"/>
  <c r="J66" i="28"/>
  <c r="I66" i="28"/>
  <c r="J65" i="28"/>
  <c r="I65" i="28"/>
  <c r="J64" i="28"/>
  <c r="I64" i="28"/>
  <c r="J63" i="28"/>
  <c r="I63" i="28"/>
  <c r="J62" i="28"/>
  <c r="I62" i="28"/>
  <c r="J61" i="28"/>
  <c r="I61" i="28"/>
  <c r="J60" i="28"/>
  <c r="I60" i="28"/>
  <c r="J59" i="28"/>
  <c r="I59" i="28"/>
  <c r="J58" i="28"/>
  <c r="I58" i="28" s="1"/>
  <c r="J57" i="28"/>
  <c r="I57" i="28" s="1"/>
  <c r="J56" i="28"/>
  <c r="I56" i="28" s="1"/>
  <c r="J55" i="28"/>
  <c r="I55" i="28" s="1"/>
  <c r="J54" i="28"/>
  <c r="I54" i="28" s="1"/>
  <c r="J53" i="28"/>
  <c r="I53" i="28" s="1"/>
  <c r="J52" i="28"/>
  <c r="I52" i="28" s="1"/>
  <c r="C43" i="28"/>
  <c r="C44" i="28" s="1"/>
  <c r="M28" i="28"/>
  <c r="L28" i="28"/>
  <c r="K28" i="28"/>
  <c r="J28" i="28"/>
  <c r="N28" i="28" s="1"/>
  <c r="C28" i="28"/>
  <c r="P27" i="28"/>
  <c r="O27" i="28"/>
  <c r="P26" i="28"/>
  <c r="O26" i="28"/>
  <c r="P25" i="28"/>
  <c r="O25" i="28"/>
  <c r="P24" i="28"/>
  <c r="O24" i="28"/>
  <c r="P23" i="28"/>
  <c r="O23" i="28"/>
  <c r="P22" i="28"/>
  <c r="O22" i="28"/>
  <c r="P21" i="28"/>
  <c r="O21" i="28"/>
  <c r="P20" i="28"/>
  <c r="O20" i="28"/>
  <c r="P19" i="28"/>
  <c r="O19" i="28"/>
  <c r="P18" i="28"/>
  <c r="O18" i="28"/>
  <c r="P17" i="28"/>
  <c r="O17" i="28"/>
  <c r="P16" i="28"/>
  <c r="O16" i="28"/>
  <c r="P15" i="28"/>
  <c r="O15" i="28"/>
  <c r="P14" i="28"/>
  <c r="O14" i="28"/>
  <c r="P13" i="28"/>
  <c r="O13" i="28"/>
  <c r="P12" i="28"/>
  <c r="O12" i="28"/>
  <c r="P11" i="28"/>
  <c r="O11" i="28"/>
  <c r="P10" i="28"/>
  <c r="O10" i="28"/>
  <c r="P9" i="28"/>
  <c r="O9" i="28"/>
  <c r="P8" i="28"/>
  <c r="O8" i="28"/>
  <c r="P7" i="28"/>
  <c r="O7" i="28"/>
  <c r="P6" i="28"/>
  <c r="O6" i="28"/>
  <c r="P5" i="28"/>
  <c r="O5" i="28"/>
  <c r="P4" i="28"/>
  <c r="O4" i="28"/>
  <c r="P3" i="28"/>
  <c r="P28" i="28" s="1"/>
  <c r="O28" i="28" s="1"/>
  <c r="O3" i="28"/>
  <c r="J69" i="27"/>
  <c r="I69" i="27"/>
  <c r="J68" i="27"/>
  <c r="I68" i="27"/>
  <c r="J67" i="27"/>
  <c r="I67" i="27"/>
  <c r="J66" i="27"/>
  <c r="I66" i="27"/>
  <c r="J65" i="27"/>
  <c r="I65" i="27"/>
  <c r="J64" i="27"/>
  <c r="I64" i="27"/>
  <c r="J63" i="27"/>
  <c r="I63" i="27"/>
  <c r="J62" i="27"/>
  <c r="I62" i="27"/>
  <c r="J61" i="27"/>
  <c r="I61" i="27"/>
  <c r="J60" i="27"/>
  <c r="I60" i="27"/>
  <c r="J59" i="27"/>
  <c r="I59" i="27"/>
  <c r="J58" i="27"/>
  <c r="I58" i="27"/>
  <c r="J57" i="27"/>
  <c r="I57" i="27"/>
  <c r="J56" i="27"/>
  <c r="I56" i="27"/>
  <c r="J55" i="27"/>
  <c r="I55" i="27"/>
  <c r="J54" i="27"/>
  <c r="I54" i="27"/>
  <c r="J53" i="27"/>
  <c r="I53" i="27"/>
  <c r="J52" i="27"/>
  <c r="I52" i="27"/>
  <c r="D43" i="27"/>
  <c r="C43" i="27"/>
  <c r="C44" i="27" s="1"/>
  <c r="M28" i="27"/>
  <c r="L28" i="27"/>
  <c r="K28" i="27"/>
  <c r="J28" i="27"/>
  <c r="N28" i="27" s="1"/>
  <c r="C28" i="27"/>
  <c r="P27" i="27"/>
  <c r="O27" i="27" s="1"/>
  <c r="P26" i="27"/>
  <c r="O26" i="27" s="1"/>
  <c r="P25" i="27"/>
  <c r="O25" i="27" s="1"/>
  <c r="P24" i="27"/>
  <c r="O24" i="27" s="1"/>
  <c r="P23" i="27"/>
  <c r="O23" i="27"/>
  <c r="P22" i="27"/>
  <c r="O22" i="27"/>
  <c r="P21" i="27"/>
  <c r="O21" i="27" s="1"/>
  <c r="P20" i="27"/>
  <c r="O20" i="27" s="1"/>
  <c r="P19" i="27"/>
  <c r="O19" i="27"/>
  <c r="P18" i="27"/>
  <c r="O18" i="27"/>
  <c r="P17" i="27"/>
  <c r="O17" i="27" s="1"/>
  <c r="P16" i="27"/>
  <c r="O16" i="27"/>
  <c r="P15" i="27"/>
  <c r="O15" i="27"/>
  <c r="P14" i="27"/>
  <c r="O14" i="27"/>
  <c r="P13" i="27"/>
  <c r="O13" i="27"/>
  <c r="P12" i="27"/>
  <c r="O12" i="27"/>
  <c r="P11" i="27"/>
  <c r="O11" i="27"/>
  <c r="P10" i="27"/>
  <c r="O10" i="27"/>
  <c r="P9" i="27"/>
  <c r="O9" i="27"/>
  <c r="P8" i="27"/>
  <c r="O8" i="27"/>
  <c r="P7" i="27"/>
  <c r="O7" i="27" s="1"/>
  <c r="P6" i="27"/>
  <c r="O6" i="27" s="1"/>
  <c r="P5" i="27"/>
  <c r="O5" i="27" s="1"/>
  <c r="P4" i="27"/>
  <c r="O4" i="27" s="1"/>
  <c r="P3" i="27"/>
  <c r="O3" i="27" s="1"/>
  <c r="J69" i="26"/>
  <c r="I69" i="26"/>
  <c r="J68" i="26"/>
  <c r="I68" i="26" s="1"/>
  <c r="J67" i="26"/>
  <c r="I67" i="26" s="1"/>
  <c r="J66" i="26"/>
  <c r="I66" i="26"/>
  <c r="J65" i="26"/>
  <c r="I65" i="26"/>
  <c r="J64" i="26"/>
  <c r="I64" i="26"/>
  <c r="J63" i="26"/>
  <c r="I63" i="26"/>
  <c r="J62" i="26"/>
  <c r="I62" i="26"/>
  <c r="J61" i="26"/>
  <c r="I61" i="26"/>
  <c r="J60" i="26"/>
  <c r="I60" i="26"/>
  <c r="J59" i="26"/>
  <c r="I59" i="26"/>
  <c r="J58" i="26"/>
  <c r="I58" i="26" s="1"/>
  <c r="J57" i="26"/>
  <c r="I57" i="26" s="1"/>
  <c r="J56" i="26"/>
  <c r="I56" i="26" s="1"/>
  <c r="J55" i="26"/>
  <c r="I55" i="26" s="1"/>
  <c r="J54" i="26"/>
  <c r="I54" i="26" s="1"/>
  <c r="J53" i="26"/>
  <c r="I53" i="26" s="1"/>
  <c r="J52" i="26"/>
  <c r="I52" i="26" s="1"/>
  <c r="C43" i="26"/>
  <c r="C44" i="26" s="1"/>
  <c r="O28" i="26"/>
  <c r="M28" i="26"/>
  <c r="L28" i="26"/>
  <c r="K28" i="26"/>
  <c r="J28" i="26"/>
  <c r="N28" i="26" s="1"/>
  <c r="C28" i="26"/>
  <c r="P27" i="26"/>
  <c r="O27" i="26"/>
  <c r="P26" i="26"/>
  <c r="O26" i="26"/>
  <c r="P25" i="26"/>
  <c r="O25" i="26"/>
  <c r="P24" i="26"/>
  <c r="O24" i="26"/>
  <c r="P23" i="26"/>
  <c r="O23" i="26"/>
  <c r="P22" i="26"/>
  <c r="O22" i="26"/>
  <c r="P21" i="26"/>
  <c r="O21" i="26"/>
  <c r="P20" i="26"/>
  <c r="O20" i="26"/>
  <c r="P19" i="26"/>
  <c r="O19" i="26"/>
  <c r="P18" i="26"/>
  <c r="O18" i="26"/>
  <c r="P17" i="26"/>
  <c r="O17" i="26"/>
  <c r="P16" i="26"/>
  <c r="O16" i="26"/>
  <c r="P15" i="26"/>
  <c r="O15" i="26"/>
  <c r="P14" i="26"/>
  <c r="O14" i="26"/>
  <c r="P13" i="26"/>
  <c r="O13" i="26"/>
  <c r="P12" i="26"/>
  <c r="O12" i="26"/>
  <c r="P11" i="26"/>
  <c r="O11" i="26"/>
  <c r="P10" i="26"/>
  <c r="O10" i="26"/>
  <c r="P9" i="26"/>
  <c r="O9" i="26"/>
  <c r="P8" i="26"/>
  <c r="O8" i="26"/>
  <c r="P7" i="26"/>
  <c r="O7" i="26"/>
  <c r="P6" i="26"/>
  <c r="O6" i="26"/>
  <c r="P5" i="26"/>
  <c r="O5" i="26"/>
  <c r="P4" i="26"/>
  <c r="O4" i="26"/>
  <c r="P3" i="26"/>
  <c r="P28" i="26" s="1"/>
  <c r="O3" i="26"/>
  <c r="J69" i="25"/>
  <c r="I69" i="25"/>
  <c r="J68" i="25"/>
  <c r="I68" i="25"/>
  <c r="J67" i="25"/>
  <c r="I67" i="25"/>
  <c r="J66" i="25"/>
  <c r="I66" i="25"/>
  <c r="J65" i="25"/>
  <c r="I65" i="25"/>
  <c r="J64" i="25"/>
  <c r="I64" i="25"/>
  <c r="J63" i="25"/>
  <c r="I63" i="25"/>
  <c r="J62" i="25"/>
  <c r="I62" i="25"/>
  <c r="J61" i="25"/>
  <c r="I61" i="25"/>
  <c r="J60" i="25"/>
  <c r="I60" i="25"/>
  <c r="J59" i="25"/>
  <c r="I59" i="25"/>
  <c r="J58" i="25"/>
  <c r="I58" i="25"/>
  <c r="J57" i="25"/>
  <c r="I57" i="25"/>
  <c r="J56" i="25"/>
  <c r="I56" i="25"/>
  <c r="J55" i="25"/>
  <c r="I55" i="25"/>
  <c r="J54" i="25"/>
  <c r="I54" i="25"/>
  <c r="J53" i="25"/>
  <c r="I53" i="25"/>
  <c r="J52" i="25"/>
  <c r="I52" i="25"/>
  <c r="C44" i="25"/>
  <c r="D43" i="25"/>
  <c r="C43" i="25"/>
  <c r="D42" i="25"/>
  <c r="D44" i="25" s="1"/>
  <c r="D41" i="25"/>
  <c r="M28" i="25"/>
  <c r="L28" i="25"/>
  <c r="K28" i="25"/>
  <c r="J28" i="25"/>
  <c r="N28" i="25" s="1"/>
  <c r="C28" i="25"/>
  <c r="P27" i="25"/>
  <c r="O27" i="25" s="1"/>
  <c r="P26" i="25"/>
  <c r="O26" i="25" s="1"/>
  <c r="P25" i="25"/>
  <c r="O25" i="25" s="1"/>
  <c r="P24" i="25"/>
  <c r="O24" i="25" s="1"/>
  <c r="P23" i="25"/>
  <c r="O23" i="25"/>
  <c r="P22" i="25"/>
  <c r="O22" i="25"/>
  <c r="P21" i="25"/>
  <c r="O21" i="25" s="1"/>
  <c r="P20" i="25"/>
  <c r="O20" i="25" s="1"/>
  <c r="P19" i="25"/>
  <c r="O19" i="25"/>
  <c r="P18" i="25"/>
  <c r="O18" i="25"/>
  <c r="P17" i="25"/>
  <c r="O17" i="25" s="1"/>
  <c r="P16" i="25"/>
  <c r="O16" i="25"/>
  <c r="P15" i="25"/>
  <c r="O15" i="25"/>
  <c r="P14" i="25"/>
  <c r="O14" i="25"/>
  <c r="P13" i="25"/>
  <c r="O13" i="25"/>
  <c r="P12" i="25"/>
  <c r="O12" i="25"/>
  <c r="P11" i="25"/>
  <c r="O11" i="25"/>
  <c r="P10" i="25"/>
  <c r="O10" i="25"/>
  <c r="P9" i="25"/>
  <c r="O9" i="25"/>
  <c r="P8" i="25"/>
  <c r="O8" i="25"/>
  <c r="P7" i="25"/>
  <c r="O7" i="25" s="1"/>
  <c r="P6" i="25"/>
  <c r="O6" i="25" s="1"/>
  <c r="P5" i="25"/>
  <c r="O5" i="25" s="1"/>
  <c r="P4" i="25"/>
  <c r="O4" i="25" s="1"/>
  <c r="P3" i="25"/>
  <c r="O3" i="25" s="1"/>
  <c r="D43" i="26" l="1"/>
  <c r="D42" i="26"/>
  <c r="D41" i="26"/>
  <c r="O28" i="25"/>
  <c r="D41" i="31"/>
  <c r="D43" i="31"/>
  <c r="D42" i="31"/>
  <c r="D43" i="32"/>
  <c r="D42" i="32"/>
  <c r="D41" i="32"/>
  <c r="P28" i="27"/>
  <c r="O28" i="27" s="1"/>
  <c r="D42" i="28"/>
  <c r="D41" i="28"/>
  <c r="D43" i="28"/>
  <c r="D43" i="30"/>
  <c r="D42" i="30"/>
  <c r="D41" i="30"/>
  <c r="D41" i="33"/>
  <c r="D43" i="33"/>
  <c r="D42" i="33"/>
  <c r="P28" i="25"/>
  <c r="E44" i="25"/>
  <c r="D42" i="27"/>
  <c r="D41" i="27"/>
  <c r="O28" i="29"/>
  <c r="D43" i="35"/>
  <c r="D42" i="35"/>
  <c r="D41" i="35"/>
  <c r="D42" i="36"/>
  <c r="D41" i="36"/>
  <c r="D43" i="36"/>
  <c r="O3" i="29"/>
  <c r="D42" i="34"/>
  <c r="E44" i="34" s="1"/>
  <c r="D44" i="34"/>
  <c r="O3" i="35"/>
  <c r="E44" i="36" l="1"/>
  <c r="D44" i="36"/>
  <c r="E44" i="26"/>
  <c r="D44" i="26"/>
  <c r="E44" i="33"/>
  <c r="D44" i="33"/>
  <c r="E44" i="32"/>
  <c r="D44" i="32"/>
  <c r="E44" i="35"/>
  <c r="D44" i="35"/>
  <c r="E44" i="27"/>
  <c r="D44" i="27"/>
  <c r="E44" i="30"/>
  <c r="D44" i="30"/>
  <c r="E44" i="28"/>
  <c r="D44" i="28"/>
  <c r="D44" i="31"/>
  <c r="E44" i="31"/>
  <c r="D58" i="23" l="1"/>
  <c r="A59" i="23"/>
  <c r="D59" i="23" s="1"/>
  <c r="C12" i="23"/>
  <c r="G90" i="21"/>
  <c r="G89" i="21"/>
  <c r="P65" i="21"/>
  <c r="O65" i="21"/>
  <c r="L65" i="21"/>
  <c r="K65" i="21"/>
  <c r="J65" i="21"/>
  <c r="I65" i="21"/>
  <c r="H65" i="21"/>
  <c r="G65" i="21"/>
  <c r="E65" i="21"/>
  <c r="D65" i="21"/>
  <c r="C65" i="21"/>
  <c r="B65" i="21"/>
  <c r="P64" i="21"/>
  <c r="O64" i="21"/>
  <c r="L64" i="21"/>
  <c r="K64" i="21"/>
  <c r="J64" i="21"/>
  <c r="I64" i="21"/>
  <c r="H64" i="21"/>
  <c r="G64" i="21"/>
  <c r="E64" i="21"/>
  <c r="D64" i="21"/>
  <c r="C64" i="21"/>
  <c r="B64" i="21"/>
  <c r="P63" i="21"/>
  <c r="O63" i="21"/>
  <c r="L63" i="21"/>
  <c r="K63" i="21"/>
  <c r="J63" i="21"/>
  <c r="I63" i="21"/>
  <c r="H63" i="21"/>
  <c r="G63" i="21"/>
  <c r="E63" i="21"/>
  <c r="D63" i="21"/>
  <c r="C63" i="21"/>
  <c r="B63" i="21"/>
  <c r="P62" i="21"/>
  <c r="O62" i="21"/>
  <c r="L62" i="21"/>
  <c r="K62" i="21"/>
  <c r="J62" i="21"/>
  <c r="I62" i="21"/>
  <c r="H62" i="21"/>
  <c r="G62" i="21"/>
  <c r="E62" i="21"/>
  <c r="D62" i="21"/>
  <c r="C62" i="21"/>
  <c r="B62" i="21"/>
  <c r="P61" i="21"/>
  <c r="O61" i="21"/>
  <c r="L61" i="21"/>
  <c r="K61" i="21"/>
  <c r="J61" i="21"/>
  <c r="I61" i="21"/>
  <c r="H61" i="21"/>
  <c r="G61" i="21"/>
  <c r="E61" i="21"/>
  <c r="D61" i="21"/>
  <c r="C61" i="21"/>
  <c r="B61" i="21"/>
  <c r="P60" i="21"/>
  <c r="O60" i="21"/>
  <c r="L60" i="21"/>
  <c r="K60" i="21"/>
  <c r="J60" i="21"/>
  <c r="I60" i="21"/>
  <c r="H60" i="21"/>
  <c r="G60" i="21"/>
  <c r="E60" i="21"/>
  <c r="D60" i="21"/>
  <c r="C60" i="21"/>
  <c r="B60" i="21"/>
  <c r="P59" i="21"/>
  <c r="O59" i="21"/>
  <c r="L59" i="21"/>
  <c r="K59" i="21"/>
  <c r="J59" i="21"/>
  <c r="I59" i="21"/>
  <c r="H59" i="21"/>
  <c r="G59" i="21"/>
  <c r="E59" i="21"/>
  <c r="D59" i="21"/>
  <c r="C59" i="21"/>
  <c r="B59" i="21"/>
  <c r="P58" i="21"/>
  <c r="O58" i="21"/>
  <c r="L58" i="21"/>
  <c r="K58" i="21"/>
  <c r="J58" i="21"/>
  <c r="I58" i="21"/>
  <c r="H58" i="21"/>
  <c r="G58" i="21"/>
  <c r="E58" i="21"/>
  <c r="D58" i="21"/>
  <c r="C58" i="21"/>
  <c r="B58" i="21"/>
  <c r="P57" i="21"/>
  <c r="O57" i="21"/>
  <c r="L57" i="21"/>
  <c r="K57" i="21"/>
  <c r="J57" i="21"/>
  <c r="I57" i="21"/>
  <c r="H57" i="21"/>
  <c r="G57" i="21"/>
  <c r="E57" i="21"/>
  <c r="D57" i="21"/>
  <c r="C57" i="21"/>
  <c r="B57" i="21"/>
  <c r="P56" i="21"/>
  <c r="O56" i="21"/>
  <c r="L56" i="21"/>
  <c r="K56" i="21"/>
  <c r="J56" i="21"/>
  <c r="I56" i="21"/>
  <c r="H56" i="21"/>
  <c r="G56" i="21"/>
  <c r="E56" i="21"/>
  <c r="D56" i="21"/>
  <c r="C56" i="21"/>
  <c r="B56" i="21"/>
  <c r="P55" i="21"/>
  <c r="O55" i="21"/>
  <c r="L55" i="21"/>
  <c r="K55" i="21"/>
  <c r="J55" i="21"/>
  <c r="I55" i="21"/>
  <c r="H55" i="21"/>
  <c r="G55" i="21"/>
  <c r="E55" i="21"/>
  <c r="D55" i="21"/>
  <c r="C55" i="21"/>
  <c r="B55" i="21"/>
  <c r="P54" i="21"/>
  <c r="O54" i="21"/>
  <c r="L54" i="21"/>
  <c r="K54" i="21"/>
  <c r="J54" i="21"/>
  <c r="I54" i="21"/>
  <c r="H54" i="21"/>
  <c r="G54" i="21"/>
  <c r="E54" i="21"/>
  <c r="D54" i="21"/>
  <c r="C54" i="21"/>
  <c r="B54" i="21"/>
  <c r="P53" i="21"/>
  <c r="O53" i="21"/>
  <c r="L53" i="21"/>
  <c r="K53" i="21"/>
  <c r="J53" i="21"/>
  <c r="I53" i="21"/>
  <c r="H53" i="21"/>
  <c r="G53" i="21"/>
  <c r="E53" i="21"/>
  <c r="D53" i="21"/>
  <c r="C53" i="21"/>
  <c r="B53" i="21"/>
  <c r="P52" i="21"/>
  <c r="O52" i="21"/>
  <c r="L52" i="21"/>
  <c r="K52" i="21"/>
  <c r="J52" i="21"/>
  <c r="I52" i="21"/>
  <c r="H52" i="21"/>
  <c r="G52" i="21"/>
  <c r="E52" i="21"/>
  <c r="D52" i="21"/>
  <c r="C52" i="21"/>
  <c r="B52" i="21"/>
  <c r="P51" i="21"/>
  <c r="O51" i="21"/>
  <c r="L51" i="21"/>
  <c r="K51" i="21"/>
  <c r="J51" i="21"/>
  <c r="I51" i="21"/>
  <c r="H51" i="21"/>
  <c r="G51" i="21"/>
  <c r="E51" i="21"/>
  <c r="D51" i="21"/>
  <c r="C51" i="21"/>
  <c r="B51" i="21"/>
  <c r="G50" i="21"/>
  <c r="E50" i="21"/>
  <c r="O50" i="21" s="1"/>
  <c r="B50" i="21"/>
  <c r="I50" i="21" s="1"/>
  <c r="O49" i="21"/>
  <c r="G49" i="21"/>
  <c r="E49" i="21"/>
  <c r="B49" i="21"/>
  <c r="I49" i="21" s="1"/>
  <c r="O48" i="21"/>
  <c r="I48" i="21"/>
  <c r="G48" i="21"/>
  <c r="E48" i="21"/>
  <c r="B48" i="21"/>
  <c r="O47" i="21"/>
  <c r="I47" i="21"/>
  <c r="G47" i="21"/>
  <c r="E47" i="21"/>
  <c r="B47" i="21"/>
  <c r="G46" i="21"/>
  <c r="E46" i="21"/>
  <c r="O46" i="21" s="1"/>
  <c r="B46" i="21"/>
  <c r="I46" i="21" s="1"/>
  <c r="G45" i="21"/>
  <c r="E45" i="21"/>
  <c r="O45" i="21" s="1"/>
  <c r="B45" i="21"/>
  <c r="I45" i="21" s="1"/>
  <c r="O44" i="21"/>
  <c r="I44" i="21"/>
  <c r="G44" i="21"/>
  <c r="E44" i="21"/>
  <c r="B44" i="21"/>
  <c r="O43" i="21"/>
  <c r="I43" i="21"/>
  <c r="G43" i="21"/>
  <c r="E43" i="21"/>
  <c r="B43" i="21"/>
  <c r="G42" i="21"/>
  <c r="E42" i="21"/>
  <c r="O42" i="21" s="1"/>
  <c r="B42" i="21"/>
  <c r="I42" i="21" s="1"/>
  <c r="O41" i="21"/>
  <c r="G41" i="21"/>
  <c r="E41" i="21"/>
  <c r="B41" i="21"/>
  <c r="I41" i="21" s="1"/>
  <c r="G40" i="21"/>
  <c r="E40" i="21"/>
  <c r="O40" i="21" s="1"/>
  <c r="B40" i="21"/>
  <c r="I40" i="21" s="1"/>
  <c r="O39" i="21"/>
  <c r="I39" i="21"/>
  <c r="G39" i="21"/>
  <c r="E39" i="21"/>
  <c r="B39" i="21"/>
  <c r="G38" i="21"/>
  <c r="E38" i="21"/>
  <c r="O38" i="21" s="1"/>
  <c r="B38" i="21"/>
  <c r="I38" i="21" s="1"/>
  <c r="O37" i="21"/>
  <c r="G37" i="21"/>
  <c r="E37" i="21"/>
  <c r="B37" i="21"/>
  <c r="I37" i="21" s="1"/>
  <c r="G36" i="21"/>
  <c r="E36" i="21"/>
  <c r="O36" i="21" s="1"/>
  <c r="B36" i="21"/>
  <c r="I36" i="21" s="1"/>
  <c r="O35" i="21"/>
  <c r="I35" i="21"/>
  <c r="G35" i="21"/>
  <c r="E35" i="21"/>
  <c r="B35" i="21"/>
  <c r="G34" i="21"/>
  <c r="E34" i="21"/>
  <c r="O34" i="21" s="1"/>
  <c r="B34" i="21"/>
  <c r="I34" i="21" s="1"/>
  <c r="O33" i="21"/>
  <c r="G33" i="21"/>
  <c r="E33" i="21"/>
  <c r="B33" i="21"/>
  <c r="I33" i="21" s="1"/>
  <c r="O32" i="21"/>
  <c r="I32" i="21"/>
  <c r="G32" i="21"/>
  <c r="E32" i="21"/>
  <c r="B32" i="21"/>
  <c r="O31" i="21"/>
  <c r="I31" i="21"/>
  <c r="G31" i="21"/>
  <c r="E31" i="21"/>
  <c r="B31" i="21"/>
  <c r="G30" i="21"/>
  <c r="E30" i="21"/>
  <c r="O30" i="21" s="1"/>
  <c r="B30" i="21"/>
  <c r="I30" i="21" s="1"/>
  <c r="G29" i="21"/>
  <c r="E29" i="21"/>
  <c r="O29" i="21" s="1"/>
  <c r="B29" i="21"/>
  <c r="I29" i="21" s="1"/>
  <c r="O28" i="21"/>
  <c r="G28" i="21"/>
  <c r="E28" i="21"/>
  <c r="B28" i="21"/>
  <c r="I28" i="21" s="1"/>
  <c r="O27" i="21"/>
  <c r="I27" i="21"/>
  <c r="G27" i="21"/>
  <c r="E27" i="21"/>
  <c r="B27" i="21"/>
  <c r="O26" i="21"/>
  <c r="I26" i="21"/>
  <c r="G26" i="21"/>
  <c r="E26" i="21"/>
  <c r="B26" i="21"/>
  <c r="G25" i="21"/>
  <c r="E25" i="21"/>
  <c r="O25" i="21" s="1"/>
  <c r="B25" i="21"/>
  <c r="I25" i="21" s="1"/>
  <c r="O24" i="21"/>
  <c r="G24" i="21"/>
  <c r="E24" i="21"/>
  <c r="B24" i="21"/>
  <c r="I24" i="21" s="1"/>
  <c r="O23" i="21"/>
  <c r="I23" i="21"/>
  <c r="G23" i="21"/>
  <c r="E23" i="21"/>
  <c r="B23" i="21"/>
  <c r="I22" i="21"/>
  <c r="G22" i="21"/>
  <c r="E22" i="21"/>
  <c r="O22" i="21" s="1"/>
  <c r="B22" i="21"/>
  <c r="O21" i="21"/>
  <c r="G21" i="21"/>
  <c r="E21" i="21"/>
  <c r="B21" i="21"/>
  <c r="I21" i="21" s="1"/>
  <c r="G20" i="21"/>
  <c r="E20" i="21"/>
  <c r="O20" i="21" s="1"/>
  <c r="B20" i="21"/>
  <c r="I20" i="21" s="1"/>
  <c r="O19" i="21"/>
  <c r="I19" i="21"/>
  <c r="G19" i="21"/>
  <c r="E19" i="21"/>
  <c r="B19" i="21"/>
  <c r="O18" i="21"/>
  <c r="I18" i="21"/>
  <c r="G18" i="21"/>
  <c r="E18" i="21"/>
  <c r="B18" i="21"/>
  <c r="O17" i="21"/>
  <c r="G17" i="21"/>
  <c r="E17" i="21"/>
  <c r="B17" i="21"/>
  <c r="I17" i="21" s="1"/>
  <c r="G16" i="21"/>
  <c r="E16" i="21"/>
  <c r="O16" i="21" s="1"/>
  <c r="B16" i="21"/>
  <c r="I16" i="21" s="1"/>
  <c r="O15" i="21"/>
  <c r="I15" i="21"/>
  <c r="G15" i="21"/>
  <c r="E15" i="21"/>
  <c r="B15" i="21"/>
  <c r="I14" i="21"/>
  <c r="G14" i="21"/>
  <c r="E14" i="21"/>
  <c r="O14" i="21" s="1"/>
  <c r="B14" i="21"/>
  <c r="G13" i="21"/>
  <c r="E13" i="21"/>
  <c r="B13" i="21"/>
  <c r="I13" i="21" s="1"/>
  <c r="O12" i="21"/>
  <c r="G12" i="21"/>
  <c r="E12" i="21"/>
  <c r="B12" i="21"/>
  <c r="I12" i="21" s="1"/>
  <c r="G11" i="21"/>
  <c r="H11" i="21" s="1"/>
  <c r="J11" i="21" s="1"/>
  <c r="K11" i="21" s="1"/>
  <c r="E11" i="21"/>
  <c r="O11" i="21" s="1"/>
  <c r="P11" i="21" s="1"/>
  <c r="D11" i="21"/>
  <c r="B11" i="21"/>
  <c r="I11" i="21" s="1"/>
  <c r="D60" i="23" l="1"/>
  <c r="L11" i="21"/>
  <c r="C12" i="21"/>
  <c r="O13" i="21"/>
  <c r="P12" i="21"/>
  <c r="C13" i="21" l="1"/>
  <c r="D12" i="21"/>
  <c r="H12" i="21" s="1"/>
  <c r="J12" i="21" s="1"/>
  <c r="K12" i="21" s="1"/>
  <c r="P13" i="21"/>
  <c r="P14" i="21" s="1"/>
  <c r="P15" i="21" s="1"/>
  <c r="P16" i="21" s="1"/>
  <c r="P17" i="21" s="1"/>
  <c r="P18" i="21" s="1"/>
  <c r="P19" i="21" s="1"/>
  <c r="P20" i="21" s="1"/>
  <c r="P21" i="21" s="1"/>
  <c r="P22" i="21" s="1"/>
  <c r="P23" i="21" s="1"/>
  <c r="P24" i="21" s="1"/>
  <c r="P25" i="21" s="1"/>
  <c r="P26" i="21" s="1"/>
  <c r="P27" i="21" s="1"/>
  <c r="P28" i="21" s="1"/>
  <c r="P29" i="21" s="1"/>
  <c r="P30" i="21" s="1"/>
  <c r="P31" i="21" s="1"/>
  <c r="P32" i="21" s="1"/>
  <c r="P33" i="21" s="1"/>
  <c r="P34" i="21" s="1"/>
  <c r="P35" i="21" s="1"/>
  <c r="P36" i="21" s="1"/>
  <c r="P37" i="21" s="1"/>
  <c r="P38" i="21" s="1"/>
  <c r="P39" i="21" s="1"/>
  <c r="P40" i="21" s="1"/>
  <c r="P41" i="21" s="1"/>
  <c r="P42" i="21" s="1"/>
  <c r="P43" i="21" s="1"/>
  <c r="P44" i="21" s="1"/>
  <c r="P45" i="21" s="1"/>
  <c r="P46" i="21" s="1"/>
  <c r="P47" i="21" s="1"/>
  <c r="P48" i="21" s="1"/>
  <c r="P49" i="21" s="1"/>
  <c r="P50" i="21" s="1"/>
  <c r="L12" i="21" l="1"/>
  <c r="C14" i="21"/>
  <c r="D13" i="21"/>
  <c r="H13" i="21" s="1"/>
  <c r="J13" i="21" s="1"/>
  <c r="K13" i="21" s="1"/>
  <c r="L13" i="21" l="1"/>
  <c r="C15" i="21"/>
  <c r="D14" i="21"/>
  <c r="H14" i="21" s="1"/>
  <c r="J14" i="21" s="1"/>
  <c r="K14" i="21" s="1"/>
  <c r="L14" i="21" l="1"/>
  <c r="D15" i="21"/>
  <c r="H15" i="21" s="1"/>
  <c r="J15" i="21" s="1"/>
  <c r="K15" i="21" s="1"/>
  <c r="C16" i="21"/>
  <c r="L15" i="21" l="1"/>
  <c r="C17" i="21"/>
  <c r="D16" i="21"/>
  <c r="H16" i="21" s="1"/>
  <c r="J16" i="21" s="1"/>
  <c r="K16" i="21" s="1"/>
  <c r="L16" i="21" l="1"/>
  <c r="C18" i="21"/>
  <c r="D17" i="21"/>
  <c r="H17" i="21" s="1"/>
  <c r="J17" i="21" s="1"/>
  <c r="K17" i="21" s="1"/>
  <c r="L17" i="21" l="1"/>
  <c r="C19" i="21"/>
  <c r="D18" i="21"/>
  <c r="H18" i="21" s="1"/>
  <c r="J18" i="21" s="1"/>
  <c r="K18" i="21" s="1"/>
  <c r="L18" i="21" l="1"/>
  <c r="C20" i="21"/>
  <c r="D19" i="21"/>
  <c r="H19" i="21" s="1"/>
  <c r="J19" i="21" s="1"/>
  <c r="K19" i="21" s="1"/>
  <c r="L19" i="21" l="1"/>
  <c r="C21" i="21"/>
  <c r="D20" i="21"/>
  <c r="H20" i="21" s="1"/>
  <c r="J20" i="21" s="1"/>
  <c r="K20" i="21" s="1"/>
  <c r="L20" i="21" l="1"/>
  <c r="C22" i="21"/>
  <c r="D21" i="21"/>
  <c r="H21" i="21" s="1"/>
  <c r="J21" i="21" s="1"/>
  <c r="K21" i="21" s="1"/>
  <c r="L21" i="21" l="1"/>
  <c r="C23" i="21"/>
  <c r="D22" i="21"/>
  <c r="H22" i="21" s="1"/>
  <c r="J22" i="21" s="1"/>
  <c r="K22" i="21" s="1"/>
  <c r="L22" i="21" l="1"/>
  <c r="D23" i="21"/>
  <c r="H23" i="21" s="1"/>
  <c r="J23" i="21" s="1"/>
  <c r="K23" i="21" s="1"/>
  <c r="C24" i="21"/>
  <c r="L23" i="21" l="1"/>
  <c r="C25" i="21"/>
  <c r="D24" i="21"/>
  <c r="H24" i="21" s="1"/>
  <c r="J24" i="21" s="1"/>
  <c r="K24" i="21" s="1"/>
  <c r="L24" i="21" l="1"/>
  <c r="C26" i="21"/>
  <c r="D25" i="21"/>
  <c r="H25" i="21" s="1"/>
  <c r="J25" i="21" s="1"/>
  <c r="K25" i="21" s="1"/>
  <c r="L25" i="21" l="1"/>
  <c r="C27" i="21"/>
  <c r="D26" i="21"/>
  <c r="H26" i="21" s="1"/>
  <c r="J26" i="21" s="1"/>
  <c r="K26" i="21" s="1"/>
  <c r="L26" i="21" l="1"/>
  <c r="C28" i="21"/>
  <c r="D27" i="21"/>
  <c r="H27" i="21" s="1"/>
  <c r="J27" i="21" s="1"/>
  <c r="K27" i="21" s="1"/>
  <c r="L27" i="21" l="1"/>
  <c r="C29" i="21"/>
  <c r="D28" i="21"/>
  <c r="H28" i="21" s="1"/>
  <c r="J28" i="21" s="1"/>
  <c r="K28" i="21" s="1"/>
  <c r="L28" i="21" l="1"/>
  <c r="C30" i="21"/>
  <c r="D29" i="21"/>
  <c r="H29" i="21" s="1"/>
  <c r="J29" i="21" s="1"/>
  <c r="K29" i="21" s="1"/>
  <c r="L29" i="21" l="1"/>
  <c r="C31" i="21"/>
  <c r="D30" i="21"/>
  <c r="H30" i="21" s="1"/>
  <c r="J30" i="21" s="1"/>
  <c r="K30" i="21" s="1"/>
  <c r="L30" i="21" l="1"/>
  <c r="C32" i="21"/>
  <c r="D31" i="21"/>
  <c r="H31" i="21" s="1"/>
  <c r="J31" i="21" s="1"/>
  <c r="K31" i="21" s="1"/>
  <c r="L31" i="21" l="1"/>
  <c r="C33" i="21"/>
  <c r="D32" i="21"/>
  <c r="H32" i="21" s="1"/>
  <c r="J32" i="21" s="1"/>
  <c r="K32" i="21" s="1"/>
  <c r="L32" i="21" l="1"/>
  <c r="C34" i="21"/>
  <c r="D33" i="21"/>
  <c r="H33" i="21" s="1"/>
  <c r="J33" i="21" s="1"/>
  <c r="K33" i="21" s="1"/>
  <c r="L33" i="21" l="1"/>
  <c r="C35" i="21"/>
  <c r="D34" i="21"/>
  <c r="H34" i="21" s="1"/>
  <c r="J34" i="21" s="1"/>
  <c r="K34" i="21" s="1"/>
  <c r="K35" i="21" l="1"/>
  <c r="L34" i="21"/>
  <c r="D35" i="21"/>
  <c r="H35" i="21" s="1"/>
  <c r="J35" i="21" s="1"/>
  <c r="C36" i="21"/>
  <c r="L35" i="21" l="1"/>
  <c r="C37" i="21"/>
  <c r="D36" i="21"/>
  <c r="H36" i="21" s="1"/>
  <c r="J36" i="21" s="1"/>
  <c r="K36" i="21" s="1"/>
  <c r="K37" i="21" l="1"/>
  <c r="L36" i="21"/>
  <c r="C38" i="21"/>
  <c r="D37" i="21"/>
  <c r="H37" i="21" s="1"/>
  <c r="J37" i="21" s="1"/>
  <c r="L37" i="21" l="1"/>
  <c r="C39" i="21"/>
  <c r="D38" i="21"/>
  <c r="H38" i="21" s="1"/>
  <c r="J38" i="21" s="1"/>
  <c r="K38" i="21" s="1"/>
  <c r="L38" i="21" l="1"/>
  <c r="C40" i="21"/>
  <c r="D39" i="21"/>
  <c r="H39" i="21" s="1"/>
  <c r="J39" i="21" s="1"/>
  <c r="K39" i="21" s="1"/>
  <c r="L39" i="21" l="1"/>
  <c r="C41" i="21"/>
  <c r="D40" i="21"/>
  <c r="H40" i="21" s="1"/>
  <c r="J40" i="21" s="1"/>
  <c r="K40" i="21" s="1"/>
  <c r="L40" i="21" l="1"/>
  <c r="C42" i="21"/>
  <c r="D41" i="21"/>
  <c r="H41" i="21" s="1"/>
  <c r="J41" i="21" s="1"/>
  <c r="K41" i="21" s="1"/>
  <c r="L41" i="21" l="1"/>
  <c r="C43" i="21"/>
  <c r="D42" i="21"/>
  <c r="H42" i="21" s="1"/>
  <c r="J42" i="21" s="1"/>
  <c r="K42" i="21" s="1"/>
  <c r="L42" i="21" l="1"/>
  <c r="D43" i="21"/>
  <c r="H43" i="21" s="1"/>
  <c r="J43" i="21" s="1"/>
  <c r="K43" i="21" s="1"/>
  <c r="C44" i="21"/>
  <c r="L43" i="21" l="1"/>
  <c r="C45" i="21"/>
  <c r="D44" i="21"/>
  <c r="H44" i="21" s="1"/>
  <c r="J44" i="21" s="1"/>
  <c r="K44" i="21" s="1"/>
  <c r="L44" i="21" l="1"/>
  <c r="C46" i="21"/>
  <c r="D45" i="21"/>
  <c r="H45" i="21" s="1"/>
  <c r="J45" i="21" s="1"/>
  <c r="K45" i="21" s="1"/>
  <c r="L45" i="21" l="1"/>
  <c r="C47" i="21"/>
  <c r="D46" i="21"/>
  <c r="H46" i="21" s="1"/>
  <c r="J46" i="21" s="1"/>
  <c r="K46" i="21" s="1"/>
  <c r="L46" i="21" l="1"/>
  <c r="D47" i="21"/>
  <c r="H47" i="21" s="1"/>
  <c r="J47" i="21" s="1"/>
  <c r="K47" i="21" s="1"/>
  <c r="C48" i="21"/>
  <c r="L47" i="21" l="1"/>
  <c r="C49" i="21"/>
  <c r="D48" i="21"/>
  <c r="H48" i="21" s="1"/>
  <c r="J48" i="21" s="1"/>
  <c r="K48" i="21" s="1"/>
  <c r="L48" i="21" l="1"/>
  <c r="C50" i="21"/>
  <c r="D50" i="21" s="1"/>
  <c r="H50" i="21" s="1"/>
  <c r="J50" i="21" s="1"/>
  <c r="D49" i="21"/>
  <c r="H49" i="21" s="1"/>
  <c r="J49" i="21" s="1"/>
  <c r="K49" i="21" s="1"/>
  <c r="K50" i="21" l="1"/>
  <c r="L50" i="21" s="1"/>
  <c r="L49" i="21"/>
  <c r="H22" i="20" l="1"/>
  <c r="H21" i="20"/>
  <c r="H20" i="20"/>
  <c r="H15" i="20"/>
  <c r="H14" i="20"/>
  <c r="H13" i="20"/>
  <c r="H12" i="20"/>
  <c r="H11" i="20"/>
  <c r="J5" i="19" l="1"/>
  <c r="J6" i="19" s="1"/>
  <c r="J7" i="19" s="1"/>
  <c r="D8" i="19" s="1"/>
  <c r="D10" i="19" s="1"/>
  <c r="B29" i="20" l="1"/>
  <c r="F24" i="20"/>
  <c r="D24" i="20"/>
  <c r="H24" i="20"/>
</calcChain>
</file>

<file path=xl/sharedStrings.xml><?xml version="1.0" encoding="utf-8"?>
<sst xmlns="http://schemas.openxmlformats.org/spreadsheetml/2006/main" count="1503" uniqueCount="243">
  <si>
    <t xml:space="preserve">                                    Lambda                                   </t>
  </si>
  <si>
    <t>Month</t>
  </si>
  <si>
    <t>Total</t>
  </si>
  <si>
    <t>$/MWh</t>
  </si>
  <si>
    <t>July</t>
  </si>
  <si>
    <t>May</t>
  </si>
  <si>
    <t>June</t>
  </si>
  <si>
    <t>Average</t>
  </si>
  <si>
    <t>Rate 96</t>
  </si>
  <si>
    <t>On-Peak</t>
  </si>
  <si>
    <t>Off-Peak</t>
  </si>
  <si>
    <t>Monthly Capacity Payments:</t>
  </si>
  <si>
    <t xml:space="preserve"> $/kW-Month</t>
  </si>
  <si>
    <t>Montana-Dakota Utilities Co.</t>
  </si>
  <si>
    <t>Capital cost of combustion turbine</t>
  </si>
  <si>
    <t xml:space="preserve">Levelized Fixed Charge </t>
  </si>
  <si>
    <t>1/</t>
  </si>
  <si>
    <t>Electric Utility - South Dakota</t>
  </si>
  <si>
    <t>Lambda and Capacity Costs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</si>
  <si>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</si>
  <si>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</si>
  <si>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</si>
  <si>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</si>
  <si>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</si>
  <si>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</si>
  <si>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</si>
  <si>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</si>
  <si>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</si>
  <si>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 combustion turbine)</t>
  </si>
  <si>
    <t>(Cost of an installed peaking</t>
  </si>
  <si>
    <t>Calculation of Capacity Payments</t>
  </si>
  <si>
    <t>Monthly Capacity Payments</t>
  </si>
  <si>
    <t xml:space="preserve">  1/</t>
  </si>
  <si>
    <t xml:space="preserve">  2/</t>
  </si>
  <si>
    <t>2/</t>
  </si>
  <si>
    <t xml:space="preserve"> $/kW-Month 3/</t>
  </si>
  <si>
    <t>3/</t>
  </si>
  <si>
    <t>See Attachment A pages 2-5.</t>
  </si>
  <si>
    <t>2020</t>
  </si>
  <si>
    <t>Cost of combustion turbine based on projected cost of a GE 7EA simple cycle unit in 2019 dollars of $878 escalated at a rate of 3.5% per year to 2022.</t>
  </si>
  <si>
    <t>Rate 96 Capacity Payment formula: = $878 x 1.035^(2022-2019)  x .09298 / 12</t>
  </si>
  <si>
    <t>2020 Avoided Cost Rate Update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</si>
  <si>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</si>
  <si>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</si>
  <si>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</si>
  <si>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</si>
  <si>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</si>
  <si>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</si>
  <si>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</si>
  <si>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</si>
  <si>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</si>
  <si>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</si>
  <si>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</si>
  <si>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</si>
  <si>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Present</t>
  </si>
  <si>
    <t>Accum.</t>
  </si>
  <si>
    <t>Tax</t>
  </si>
  <si>
    <t>Deferred</t>
  </si>
  <si>
    <t>Net</t>
  </si>
  <si>
    <t>Book</t>
  </si>
  <si>
    <t>Ad Valorem</t>
  </si>
  <si>
    <t>Value</t>
  </si>
  <si>
    <t>Depr.</t>
  </si>
  <si>
    <t>Income</t>
  </si>
  <si>
    <t>Acc.</t>
  </si>
  <si>
    <t>Year</t>
  </si>
  <si>
    <t>Investment</t>
  </si>
  <si>
    <t>Return</t>
  </si>
  <si>
    <t>O&amp;M</t>
  </si>
  <si>
    <t xml:space="preserve">Tax </t>
  </si>
  <si>
    <t>Charge</t>
  </si>
  <si>
    <t>Factor</t>
  </si>
  <si>
    <t>LFCR</t>
  </si>
  <si>
    <t>Accel.</t>
  </si>
  <si>
    <t>DIT</t>
  </si>
  <si>
    <t>(1)  Prior year's Net investment - Book Depreciation - Deferred Income Tax.</t>
  </si>
  <si>
    <t>(2)  Return (adjusted for taxes) x Net Investment.</t>
  </si>
  <si>
    <t>(3)  Depreciation rate based on the life of the investment.</t>
  </si>
  <si>
    <t>(4)  Distribution O&amp;M expense as percent of distribution plant.</t>
  </si>
  <si>
    <t>(5)  Ad valorem tax rate on distribution plant.</t>
  </si>
  <si>
    <t>(6)  Sum of return, depreciation, O&amp;M and ad valorem taxes.</t>
  </si>
  <si>
    <t>(7)  Present value factor reflecting overall rate of return.</t>
  </si>
  <si>
    <t>(8)  Present value factor x total charge.</t>
  </si>
  <si>
    <t>(9) Accumulated present value.</t>
  </si>
  <si>
    <t>(10)  Levelized fixed charge rate = accumulated present value x ((+ROR*(1+ROR)˄book life)/((1+ROR)˄book life-1)</t>
  </si>
  <si>
    <t>(11)  Tax depreciation rates for a CT uses a 15 year tax life.</t>
  </si>
  <si>
    <t>(12)  (Tax life - book life) x tax rate.</t>
  </si>
  <si>
    <t>Assumptions</t>
  </si>
  <si>
    <t>ROR</t>
  </si>
  <si>
    <t>ROR with taxes</t>
  </si>
  <si>
    <t>Federal Tax Rate</t>
  </si>
  <si>
    <t>State Tax Rate</t>
  </si>
  <si>
    <t>Combined Federal/State Tax Rate</t>
  </si>
  <si>
    <t>1 - Tax Rate</t>
  </si>
  <si>
    <t>Service Life of Asset (in years)</t>
  </si>
  <si>
    <t>Tax Life (in years - 5, 7, 10, 15, 20 , or 39)</t>
  </si>
  <si>
    <t>Property Tax Rate</t>
  </si>
  <si>
    <t>MACRS Depreciation table</t>
  </si>
  <si>
    <t>Depreciation Method: 200 or 150 Percent Declining Balance Switching to Straight Line</t>
  </si>
  <si>
    <t>Convention: Half-Year</t>
  </si>
  <si>
    <t>Tax Life (Years)</t>
  </si>
  <si>
    <t>TOTAL(I8) =COMPO-(TAXPCT*DEBT)</t>
  </si>
  <si>
    <t>Electric Utility- South Dakota</t>
  </si>
  <si>
    <t>Levelized Fixed Charge Rate - CT</t>
  </si>
  <si>
    <t>Summary of Results</t>
  </si>
  <si>
    <t>Sum of Present Values  1/</t>
  </si>
  <si>
    <t>Capital Recovery Factor 2/</t>
  </si>
  <si>
    <t>Levelized Fixed Charge 3/</t>
  </si>
  <si>
    <t>1/  Sum of annual net present values.</t>
  </si>
  <si>
    <t>2/  ((+ROR*(1+ROR)˄book life)/((1+ROR)˄book life-1).</t>
  </si>
  <si>
    <t>3/  Product of annual present value x capital recovery factor.</t>
  </si>
  <si>
    <t>Capital recovery factor</t>
  </si>
  <si>
    <t>((+ROR*(1+ROR)˄remaining life)/((1+ROR)˄remaining life-1)</t>
  </si>
  <si>
    <t>˄</t>
  </si>
  <si>
    <t>((+ROR*(1+ROR)˄remaining life)</t>
  </si>
  <si>
    <t>((1+ROR)˄remaining life-1)</t>
  </si>
  <si>
    <t>Report of Tariff Schedule Change</t>
  </si>
  <si>
    <t>NAME OF UTILITY:</t>
  </si>
  <si>
    <t>ADDRESS:</t>
  </si>
  <si>
    <t>400 North Fourth Street</t>
  </si>
  <si>
    <t>Bismarck,  ND  58501</t>
  </si>
  <si>
    <t xml:space="preserve">Section No. </t>
  </si>
  <si>
    <t>Class of Service</t>
  </si>
  <si>
    <t>New Sheet No.</t>
  </si>
  <si>
    <t>Occassional Power Purchase Rate 95</t>
  </si>
  <si>
    <t>4th Revised Sheet No. 35</t>
  </si>
  <si>
    <t>Power Purchase Rate 96 Time Differentiated</t>
  </si>
  <si>
    <t>4th Revised Sheet No. 36</t>
  </si>
  <si>
    <t>3rd Revised Sheet No. 36.1</t>
  </si>
  <si>
    <t xml:space="preserve">Change: </t>
  </si>
  <si>
    <t>Rates</t>
  </si>
  <si>
    <t>(State part of tariff schedule affected by change, such as: Applicability, availability, rates, etc.)</t>
  </si>
  <si>
    <t>Reason for Change:</t>
  </si>
  <si>
    <t>Avoided cost rate update</t>
  </si>
  <si>
    <t>Present Rates ........................................................................................................................................</t>
  </si>
  <si>
    <t xml:space="preserve"> </t>
  </si>
  <si>
    <t>Proposed Rates ......................................................................................................................................</t>
  </si>
  <si>
    <t>Approximate annual reduction in revenue ...............................................................</t>
  </si>
  <si>
    <t>N/A</t>
  </si>
  <si>
    <t>Approximate annual increase in revenue ................................................................</t>
  </si>
  <si>
    <t>Points</t>
  </si>
  <si>
    <t>Estimated Number of Customers Whose Cost of Service will be:</t>
  </si>
  <si>
    <t>Affected</t>
  </si>
  <si>
    <t>Reduced</t>
  </si>
  <si>
    <t>Increased</t>
  </si>
  <si>
    <t>Unchanged</t>
  </si>
  <si>
    <t># of</t>
  </si>
  <si>
    <t xml:space="preserve">Amount </t>
  </si>
  <si>
    <t>Amount</t>
  </si>
  <si>
    <t>Customers</t>
  </si>
  <si>
    <t>in $</t>
  </si>
  <si>
    <t>All</t>
  </si>
  <si>
    <t>Include Statement of Facts, expert opinions, documents and exhibits supporting the change requested.</t>
  </si>
  <si>
    <t>Received:</t>
  </si>
  <si>
    <t>(Reporting Utility)</t>
  </si>
  <si>
    <t>By:</t>
  </si>
  <si>
    <t>By:  Tamie A. Aberle</t>
  </si>
  <si>
    <t>Executive Director</t>
  </si>
  <si>
    <t xml:space="preserve">       Director of Regulatory Affairs</t>
  </si>
  <si>
    <t>South Dakota</t>
  </si>
  <si>
    <t xml:space="preserve">      (Name and Title)</t>
  </si>
  <si>
    <t>Public Utilities Commission</t>
  </si>
  <si>
    <t>SD-20:10:13:26</t>
  </si>
  <si>
    <t>No.</t>
  </si>
  <si>
    <t>Station</t>
  </si>
  <si>
    <t>Generation</t>
  </si>
  <si>
    <t>Capacity Factor</t>
  </si>
  <si>
    <t>Units Started</t>
  </si>
  <si>
    <t>Fuel Offtake</t>
  </si>
  <si>
    <t>Average Heat Rate</t>
  </si>
  <si>
    <t>Hours of Operation</t>
  </si>
  <si>
    <t>Fuel Price</t>
  </si>
  <si>
    <t>Fuel Cost</t>
  </si>
  <si>
    <t>Start &amp; Shutdown Cost</t>
  </si>
  <si>
    <t>FO&amp;M Cost</t>
  </si>
  <si>
    <t>VO&amp;M Cost</t>
  </si>
  <si>
    <t>Production Cost</t>
  </si>
  <si>
    <t>Total Cost</t>
  </si>
  <si>
    <t>#</t>
  </si>
  <si>
    <t>Name</t>
  </si>
  <si>
    <t>GWh</t>
  </si>
  <si>
    <t>%</t>
  </si>
  <si>
    <t>1000 MMBTU</t>
  </si>
  <si>
    <t>BTU/kWh</t>
  </si>
  <si>
    <t>hrs</t>
  </si>
  <si>
    <t>$/MMBTU</t>
  </si>
  <si>
    <t>$000</t>
  </si>
  <si>
    <t>Big Stone I</t>
  </si>
  <si>
    <t>Coyote</t>
  </si>
  <si>
    <t>Heskett 1</t>
  </si>
  <si>
    <t>Heskett 2</t>
  </si>
  <si>
    <t>Lewis &amp; Clark</t>
  </si>
  <si>
    <t>Lewis &amp; Clark pk</t>
  </si>
  <si>
    <t>Glendive CT 1</t>
  </si>
  <si>
    <t>Glendive CT 2</t>
  </si>
  <si>
    <t>Glendive Diesel</t>
  </si>
  <si>
    <t>Heskett 3 CT</t>
  </si>
  <si>
    <t>Heskett 4 CT</t>
  </si>
  <si>
    <t>Lewis &amp; Clark 2 CT</t>
  </si>
  <si>
    <t>Miles City CT</t>
  </si>
  <si>
    <t>Demand Response Program</t>
  </si>
  <si>
    <t>Ft. Peck Capacity</t>
  </si>
  <si>
    <t>Heskett 3 Firm</t>
  </si>
  <si>
    <t>Lewis &amp; Clark 2 CT Firm</t>
  </si>
  <si>
    <t>MISO Sales</t>
  </si>
  <si>
    <t>MISO Purchases</t>
  </si>
  <si>
    <t>ND State Capitol</t>
  </si>
  <si>
    <t>Williston Water Plant</t>
  </si>
  <si>
    <t>Cedar Hills</t>
  </si>
  <si>
    <t>Diamond Willow</t>
  </si>
  <si>
    <t>Glen Ullin Stat6</t>
  </si>
  <si>
    <t>Thunder Spirit</t>
  </si>
  <si>
    <t>Total:</t>
  </si>
  <si>
    <t>Time of Day Marginal Cost Summary</t>
  </si>
  <si>
    <t>Timeslice</t>
  </si>
  <si>
    <t>Total Hours</t>
  </si>
  <si>
    <t>% of Hrs</t>
  </si>
  <si>
    <t>Average Marg Cost</t>
  </si>
  <si>
    <t>Summer Off Peak</t>
  </si>
  <si>
    <t>Summer On Peak</t>
  </si>
  <si>
    <t>Winter Off Peak</t>
  </si>
  <si>
    <t>Fuel Use Report</t>
  </si>
  <si>
    <t>Fuel</t>
  </si>
  <si>
    <t>Price</t>
  </si>
  <si>
    <t>Cost</t>
  </si>
  <si>
    <t>Offtake</t>
  </si>
  <si>
    <t>Transport Cost</t>
  </si>
  <si>
    <t>Units Used</t>
  </si>
  <si>
    <t>GWH</t>
  </si>
  <si>
    <t>Bigstone Subbit</t>
  </si>
  <si>
    <t>Coyote Lignite</t>
  </si>
  <si>
    <t>Heskett1 Lignite</t>
  </si>
  <si>
    <t>Heskett2 Lignite</t>
  </si>
  <si>
    <t>L&amp;C Lignite</t>
  </si>
  <si>
    <t>Heskett2 Gas</t>
  </si>
  <si>
    <t>L&amp;C Gas</t>
  </si>
  <si>
    <t>Glendive1 Gas</t>
  </si>
  <si>
    <t>Glendive2 Gas</t>
  </si>
  <si>
    <t>Heskett3 Gas</t>
  </si>
  <si>
    <t>Heskett4 Gas</t>
  </si>
  <si>
    <t>MilesCity Gas</t>
  </si>
  <si>
    <t>BigStone Oil</t>
  </si>
  <si>
    <t>Coyote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</si>
</sst>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General_)"/>
    <numFmt numFmtId="166" formatCode="0.000_)"/>
    <numFmt numFmtId="167" formatCode="&quot;$&quot;#,##0.000_);[Red]\(&quot;$&quot;#,##0.000\)"/>
    <numFmt numFmtId="168" formatCode="0.000%"/>
    <numFmt numFmtId="169" formatCode="&quot;$&quot;#,##0.000"/>
    <numFmt numFmtId="170" formatCode="#,##0.000_);[Red]\(#,##0.000\)"/>
    <numFmt numFmtId="171" formatCode="&quot;$&quot;#,##0"/>
    <numFmt numFmtId="172" formatCode="0.00000_)"/>
    <numFmt numFmtId="173" formatCode="0.000"/>
    <numFmt numFmtId="174" formatCode="#,##0.00000_);\(#,##0.00000\)"/>
    <numFmt numFmtId="175" formatCode="0.00000"/>
    <numFmt numFmtId="176" formatCode="0.0000%"/>
    <numFmt numFmtId="177" formatCode="#,##0.000000_);\(#,##0.000000\)"/>
    <numFmt numFmtId="178" formatCode="0.0"/>
    <numFmt numFmtId="179" formatCode="0.0%"/>
    <numFmt numFmtId="180" formatCode="&quot;$&quot;#,##0.00"/>
    <numFmt numFmtId="181" formatCode="0.0000"/>
  </numFmts>
  <fonts count="20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u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u/>
      <sz val="10"/>
      <color theme="1"/>
      <name val="Arial"/>
      <family val="2"/>
    </font>
    <font>
      <sz val="12"/>
      <name val="Helv"/>
    </font>
    <font>
      <sz val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thick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tted">
        <color auto="1"/>
      </bottom>
      <diagonal/>
    </border>
  </borders>
  <cellStyleXfs count="12">
    <xf numFmtId="165" fontId="0" fillId="0" borderId="0"/>
    <xf numFmtId="43" fontId="3" fillId="0" borderId="0" applyFont="0" applyFill="0" applyBorder="0" applyAlignment="0" applyProtection="0"/>
    <xf numFmtId="0" fontId="3" fillId="0" borderId="0"/>
    <xf numFmtId="0" fontId="7" fillId="0" borderId="0"/>
    <xf numFmtId="165" fontId="6" fillId="0" borderId="0"/>
    <xf numFmtId="0" fontId="2" fillId="0" borderId="0"/>
    <xf numFmtId="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5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8">
    <xf numFmtId="165" fontId="0" fillId="0" borderId="0" xfId="0"/>
    <xf numFmtId="165" fontId="3" fillId="0" borderId="0" xfId="0" applyFont="1" applyBorder="1"/>
    <xf numFmtId="165" fontId="3" fillId="0" borderId="1" xfId="0" applyFont="1" applyBorder="1" applyAlignment="1">
      <alignment horizontal="centerContinuous"/>
    </xf>
    <xf numFmtId="165" fontId="3" fillId="0" borderId="0" xfId="0" applyFont="1" applyBorder="1" applyAlignment="1">
      <alignment horizontal="center"/>
    </xf>
    <xf numFmtId="165" fontId="3" fillId="0" borderId="1" xfId="0" applyFont="1" applyBorder="1" applyAlignment="1" applyProtection="1">
      <alignment horizontal="centerContinuous"/>
      <protection locked="0"/>
    </xf>
    <xf numFmtId="165" fontId="3" fillId="0" borderId="0" xfId="0" applyFont="1" applyBorder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/>
      <protection locked="0"/>
    </xf>
    <xf numFmtId="165" fontId="3" fillId="0" borderId="0" xfId="0" applyFont="1" applyAlignment="1" applyProtection="1">
      <alignment horizontal="left"/>
      <protection locked="0"/>
    </xf>
    <xf numFmtId="165" fontId="3" fillId="0" borderId="0" xfId="0" applyFont="1" applyBorder="1" applyAlignment="1" applyProtection="1">
      <alignment horizontal="left"/>
      <protection locked="0"/>
    </xf>
    <xf numFmtId="166" fontId="3" fillId="2" borderId="0" xfId="0" applyNumberFormat="1" applyFont="1" applyFill="1" applyAlignment="1" applyProtection="1">
      <alignment horizontal="right"/>
      <protection locked="0"/>
    </xf>
    <xf numFmtId="165" fontId="3" fillId="2" borderId="0" xfId="0" applyFont="1" applyFill="1" applyBorder="1" applyAlignment="1" applyProtection="1">
      <alignment horizontal="left"/>
      <protection locked="0"/>
    </xf>
    <xf numFmtId="165" fontId="4" fillId="0" borderId="0" xfId="0" applyFont="1" applyAlignment="1">
      <alignment horizontal="centerContinuous"/>
    </xf>
    <xf numFmtId="165" fontId="4" fillId="0" borderId="0" xfId="0" applyFont="1" applyBorder="1" applyAlignment="1">
      <alignment horizontal="centerContinuous"/>
    </xf>
    <xf numFmtId="165" fontId="3" fillId="0" borderId="0" xfId="0" applyFont="1" applyBorder="1" applyAlignment="1">
      <alignment horizontal="centerContinuous"/>
    </xf>
    <xf numFmtId="165" fontId="4" fillId="0" borderId="0" xfId="0" quotePrefix="1" applyFont="1" applyAlignment="1">
      <alignment horizontal="centerContinuous"/>
    </xf>
    <xf numFmtId="165" fontId="4" fillId="0" borderId="0" xfId="0" quotePrefix="1" applyFont="1" applyBorder="1" applyAlignment="1">
      <alignment horizontal="centerContinuous"/>
    </xf>
    <xf numFmtId="165" fontId="4" fillId="0" borderId="0" xfId="0" applyFont="1" applyAlignment="1" applyProtection="1">
      <alignment horizontal="centerContinuous"/>
      <protection locked="0"/>
    </xf>
    <xf numFmtId="165" fontId="3" fillId="0" borderId="0" xfId="0" applyFont="1"/>
    <xf numFmtId="40" fontId="3" fillId="0" borderId="0" xfId="0" applyNumberFormat="1" applyFont="1" applyBorder="1" applyAlignment="1"/>
    <xf numFmtId="165" fontId="3" fillId="0" borderId="0" xfId="0" applyFont="1" applyFill="1" applyBorder="1" applyAlignment="1" applyProtection="1">
      <alignment horizontal="left"/>
      <protection locked="0"/>
    </xf>
    <xf numFmtId="165" fontId="3" fillId="0" borderId="0" xfId="0" quotePrefix="1" applyFont="1" applyBorder="1"/>
    <xf numFmtId="43" fontId="3" fillId="0" borderId="0" xfId="1" quotePrefix="1" applyFont="1" applyFill="1" applyBorder="1" applyAlignment="1" applyProtection="1">
      <alignment horizontal="right"/>
      <protection locked="0"/>
    </xf>
    <xf numFmtId="43" fontId="3" fillId="0" borderId="0" xfId="1" applyFont="1" applyBorder="1" applyAlignment="1">
      <alignment horizontal="right"/>
    </xf>
    <xf numFmtId="7" fontId="3" fillId="0" borderId="0" xfId="1" applyNumberFormat="1" applyFont="1" applyBorder="1" applyAlignment="1" applyProtection="1">
      <alignment horizontal="right"/>
      <protection locked="0"/>
    </xf>
    <xf numFmtId="165" fontId="4" fillId="0" borderId="0" xfId="0" applyFont="1" applyBorder="1"/>
    <xf numFmtId="165" fontId="3" fillId="0" borderId="1" xfId="0" applyFont="1" applyBorder="1" applyAlignment="1" applyProtection="1">
      <alignment horizontal="center"/>
      <protection locked="0"/>
    </xf>
    <xf numFmtId="165" fontId="3" fillId="0" borderId="0" xfId="0" applyFont="1" applyBorder="1" applyAlignment="1" applyProtection="1">
      <alignment horizontal="centerContinuous"/>
      <protection locked="0"/>
    </xf>
    <xf numFmtId="8" fontId="3" fillId="0" borderId="0" xfId="0" applyNumberFormat="1" applyFont="1" applyFill="1" applyAlignment="1" applyProtection="1">
      <protection locked="0"/>
    </xf>
    <xf numFmtId="40" fontId="3" fillId="0" borderId="0" xfId="0" applyNumberFormat="1" applyFont="1" applyFill="1" applyAlignment="1" applyProtection="1">
      <protection locked="0"/>
    </xf>
    <xf numFmtId="165" fontId="4" fillId="0" borderId="0" xfId="0" applyFont="1" applyBorder="1" applyAlignment="1" applyProtection="1">
      <alignment horizontal="centerContinuous"/>
      <protection locked="0"/>
    </xf>
    <xf numFmtId="165" fontId="4" fillId="0" borderId="1" xfId="0" applyFont="1" applyBorder="1" applyAlignment="1" applyProtection="1">
      <alignment horizontal="left"/>
      <protection locked="0"/>
    </xf>
    <xf numFmtId="167" fontId="3" fillId="2" borderId="0" xfId="0" quotePrefix="1" applyNumberFormat="1" applyFont="1" applyFill="1" applyAlignment="1" applyProtection="1">
      <alignment horizontal="left"/>
      <protection locked="0"/>
    </xf>
    <xf numFmtId="165" fontId="3" fillId="2" borderId="0" xfId="0" applyFont="1" applyFill="1" applyBorder="1" applyAlignment="1" applyProtection="1">
      <alignment horizontal="center"/>
      <protection locked="0"/>
    </xf>
    <xf numFmtId="165" fontId="3" fillId="2" borderId="0" xfId="0" applyFont="1" applyFill="1" applyBorder="1"/>
    <xf numFmtId="170" fontId="3" fillId="0" borderId="0" xfId="0" applyNumberFormat="1" applyFont="1" applyBorder="1"/>
    <xf numFmtId="165" fontId="5" fillId="0" borderId="0" xfId="0" applyFont="1" applyBorder="1"/>
    <xf numFmtId="49" fontId="3" fillId="0" borderId="0" xfId="0" applyNumberFormat="1" applyFont="1" applyAlignment="1" applyProtection="1">
      <alignment horizontal="center"/>
      <protection locked="0"/>
    </xf>
    <xf numFmtId="165" fontId="3" fillId="2" borderId="0" xfId="0" applyFont="1" applyFill="1" applyAlignment="1"/>
    <xf numFmtId="8" fontId="3" fillId="0" borderId="0" xfId="0" applyNumberFormat="1" applyFont="1" applyBorder="1" applyAlignment="1" applyProtection="1">
      <protection locked="0"/>
    </xf>
    <xf numFmtId="168" fontId="3" fillId="0" borderId="1" xfId="0" applyNumberFormat="1" applyFont="1" applyFill="1" applyBorder="1"/>
    <xf numFmtId="167" fontId="3" fillId="0" borderId="0" xfId="0" quotePrefix="1" applyNumberFormat="1" applyFont="1" applyFill="1" applyAlignment="1" applyProtection="1">
      <alignment horizontal="right"/>
      <protection locked="0"/>
    </xf>
    <xf numFmtId="165" fontId="3" fillId="0" borderId="0" xfId="0" applyFont="1" applyFill="1" applyBorder="1" applyAlignment="1">
      <alignment horizontal="left"/>
    </xf>
    <xf numFmtId="165" fontId="3" fillId="0" borderId="0" xfId="4" quotePrefix="1" applyFont="1" applyBorder="1" applyAlignment="1">
      <alignment horizontal="left" vertical="top"/>
    </xf>
    <xf numFmtId="165" fontId="3" fillId="0" borderId="0" xfId="4" quotePrefix="1" applyFont="1" applyBorder="1"/>
    <xf numFmtId="165" fontId="3" fillId="0" borderId="0" xfId="4" applyFont="1" applyBorder="1"/>
    <xf numFmtId="171" fontId="3" fillId="0" borderId="0" xfId="0" applyNumberFormat="1" applyFont="1" applyFill="1" applyBorder="1"/>
    <xf numFmtId="169" fontId="3" fillId="0" borderId="0" xfId="0" applyNumberFormat="1" applyFont="1" applyFill="1" applyAlignment="1" applyProtection="1">
      <alignment horizontal="right"/>
      <protection locked="0"/>
    </xf>
    <xf numFmtId="0" fontId="8" fillId="0" borderId="0" xfId="5" applyFont="1" applyAlignment="1">
      <alignment horizontal="centerContinuous"/>
    </xf>
    <xf numFmtId="0" fontId="9" fillId="3" borderId="0" xfId="5" applyFont="1" applyFill="1"/>
    <xf numFmtId="0" fontId="9" fillId="0" borderId="0" xfId="5" applyFont="1"/>
    <xf numFmtId="0" fontId="4" fillId="0" borderId="0" xfId="5" applyFont="1" applyAlignment="1">
      <alignment horizontal="centerContinuous"/>
    </xf>
    <xf numFmtId="0" fontId="10" fillId="0" borderId="0" xfId="5" applyFont="1" applyAlignment="1">
      <alignment horizontal="centerContinuous"/>
    </xf>
    <xf numFmtId="166" fontId="10" fillId="0" borderId="0" xfId="5" applyNumberFormat="1" applyFont="1" applyAlignment="1" applyProtection="1">
      <alignment horizontal="centerContinuous"/>
    </xf>
    <xf numFmtId="166" fontId="11" fillId="0" borderId="0" xfId="5" applyNumberFormat="1" applyFont="1" applyAlignment="1" applyProtection="1">
      <alignment horizontal="centerContinuous"/>
      <protection locked="0"/>
    </xf>
    <xf numFmtId="166" fontId="10" fillId="3" borderId="0" xfId="5" applyNumberFormat="1" applyFont="1" applyFill="1" applyAlignment="1" applyProtection="1">
      <alignment horizontal="left"/>
    </xf>
    <xf numFmtId="172" fontId="3" fillId="0" borderId="0" xfId="5" applyNumberFormat="1" applyFont="1" applyAlignment="1" applyProtection="1">
      <alignment horizontal="centerContinuous"/>
    </xf>
    <xf numFmtId="166" fontId="3" fillId="0" borderId="0" xfId="5" applyNumberFormat="1" applyFont="1" applyAlignment="1" applyProtection="1">
      <alignment horizontal="centerContinuous"/>
    </xf>
    <xf numFmtId="0" fontId="3" fillId="0" borderId="0" xfId="5" applyFont="1" applyAlignment="1">
      <alignment horizontal="centerContinuous"/>
    </xf>
    <xf numFmtId="0" fontId="3" fillId="0" borderId="0" xfId="5" applyFont="1"/>
    <xf numFmtId="166" fontId="10" fillId="3" borderId="0" xfId="5" applyNumberFormat="1" applyFont="1" applyFill="1" applyAlignment="1" applyProtection="1">
      <alignment horizontal="centerContinuous"/>
    </xf>
    <xf numFmtId="0" fontId="3" fillId="0" borderId="0" xfId="5" applyFont="1" applyAlignment="1"/>
    <xf numFmtId="0" fontId="10" fillId="0" borderId="0" xfId="5" applyFont="1" applyAlignment="1"/>
    <xf numFmtId="0" fontId="3" fillId="0" borderId="0" xfId="5" applyFont="1" applyAlignment="1">
      <alignment horizontal="center"/>
    </xf>
    <xf numFmtId="166" fontId="3" fillId="0" borderId="0" xfId="5" applyNumberFormat="1" applyFont="1" applyAlignment="1" applyProtection="1">
      <alignment horizontal="center"/>
    </xf>
    <xf numFmtId="166" fontId="3" fillId="0" borderId="0" xfId="5" applyNumberFormat="1" applyFont="1" applyAlignment="1" applyProtection="1">
      <alignment horizontal="center"/>
      <protection locked="0"/>
    </xf>
    <xf numFmtId="166" fontId="3" fillId="3" borderId="0" xfId="5" applyNumberFormat="1" applyFont="1" applyFill="1" applyAlignment="1" applyProtection="1">
      <alignment horizontal="center"/>
    </xf>
    <xf numFmtId="172" fontId="3" fillId="0" borderId="0" xfId="5" applyNumberFormat="1" applyFont="1" applyAlignment="1" applyProtection="1">
      <alignment horizontal="center"/>
    </xf>
    <xf numFmtId="0" fontId="9" fillId="0" borderId="0" xfId="5" quotePrefix="1" applyFont="1" applyAlignment="1">
      <alignment horizontal="center"/>
    </xf>
    <xf numFmtId="0" fontId="9" fillId="3" borderId="0" xfId="5" quotePrefix="1" applyFont="1" applyFill="1" applyAlignment="1">
      <alignment horizontal="center"/>
    </xf>
    <xf numFmtId="0" fontId="3" fillId="0" borderId="0" xfId="5" applyFont="1" applyAlignment="1">
      <alignment horizontal="right"/>
    </xf>
    <xf numFmtId="0" fontId="3" fillId="3" borderId="0" xfId="5" applyFont="1" applyFill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0" borderId="0" xfId="5" applyFont="1" applyBorder="1"/>
    <xf numFmtId="0" fontId="3" fillId="0" borderId="1" xfId="5" applyFont="1" applyBorder="1" applyAlignment="1">
      <alignment horizontal="center"/>
    </xf>
    <xf numFmtId="166" fontId="3" fillId="0" borderId="1" xfId="5" applyNumberFormat="1" applyFont="1" applyBorder="1" applyAlignment="1" applyProtection="1">
      <alignment horizontal="center"/>
    </xf>
    <xf numFmtId="166" fontId="3" fillId="0" borderId="1" xfId="5" applyNumberFormat="1" applyFont="1" applyBorder="1" applyAlignment="1" applyProtection="1">
      <alignment horizontal="center"/>
      <protection locked="0"/>
    </xf>
    <xf numFmtId="172" fontId="3" fillId="0" borderId="1" xfId="5" applyNumberFormat="1" applyFont="1" applyBorder="1" applyAlignment="1" applyProtection="1">
      <alignment horizontal="center"/>
    </xf>
    <xf numFmtId="0" fontId="3" fillId="0" borderId="0" xfId="5" applyFont="1" applyBorder="1" applyAlignment="1">
      <alignment horizontal="center"/>
    </xf>
    <xf numFmtId="0" fontId="3" fillId="0" borderId="0" xfId="5" applyFont="1" applyAlignment="1">
      <alignment horizontal="left"/>
    </xf>
    <xf numFmtId="0" fontId="9" fillId="0" borderId="0" xfId="5" applyFont="1" applyAlignment="1">
      <alignment horizontal="right"/>
    </xf>
    <xf numFmtId="173" fontId="9" fillId="0" borderId="0" xfId="5" applyNumberFormat="1" applyFont="1" applyAlignment="1">
      <alignment horizontal="right"/>
    </xf>
    <xf numFmtId="174" fontId="9" fillId="0" borderId="0" xfId="6" applyNumberFormat="1" applyFont="1"/>
    <xf numFmtId="174" fontId="3" fillId="0" borderId="0" xfId="6" applyNumberFormat="1" applyFont="1"/>
    <xf numFmtId="174" fontId="9" fillId="3" borderId="0" xfId="6" applyNumberFormat="1" applyFont="1" applyFill="1"/>
    <xf numFmtId="39" fontId="9" fillId="0" borderId="0" xfId="6" applyNumberFormat="1" applyFont="1"/>
    <xf numFmtId="174" fontId="9" fillId="0" borderId="0" xfId="6" applyNumberFormat="1" applyFont="1" applyBorder="1"/>
    <xf numFmtId="175" fontId="9" fillId="0" borderId="0" xfId="5" applyNumberFormat="1" applyFont="1" applyBorder="1"/>
    <xf numFmtId="0" fontId="9" fillId="0" borderId="0" xfId="5" applyFont="1" applyBorder="1"/>
    <xf numFmtId="173" fontId="3" fillId="0" borderId="0" xfId="5" applyNumberFormat="1" applyFont="1" applyAlignment="1">
      <alignment horizontal="right"/>
    </xf>
    <xf numFmtId="174" fontId="3" fillId="3" borderId="0" xfId="6" applyNumberFormat="1" applyFont="1" applyFill="1"/>
    <xf numFmtId="0" fontId="3" fillId="0" borderId="0" xfId="5" applyFont="1" applyBorder="1" applyAlignment="1">
      <alignment horizontal="right"/>
    </xf>
    <xf numFmtId="174" fontId="3" fillId="0" borderId="0" xfId="6" applyNumberFormat="1" applyFont="1" applyBorder="1"/>
    <xf numFmtId="175" fontId="9" fillId="0" borderId="0" xfId="5" applyNumberFormat="1" applyFont="1"/>
    <xf numFmtId="174" fontId="9" fillId="0" borderId="0" xfId="6" applyNumberFormat="1" applyFont="1" applyAlignment="1">
      <alignment horizontal="right"/>
    </xf>
    <xf numFmtId="0" fontId="9" fillId="0" borderId="0" xfId="5" applyFont="1" applyAlignment="1">
      <alignment horizontal="left"/>
    </xf>
    <xf numFmtId="173" fontId="9" fillId="0" borderId="0" xfId="5" applyNumberFormat="1" applyFont="1"/>
    <xf numFmtId="0" fontId="9" fillId="0" borderId="0" xfId="5" quotePrefix="1" applyFont="1" applyAlignment="1">
      <alignment horizontal="left"/>
    </xf>
    <xf numFmtId="0" fontId="9" fillId="0" borderId="0" xfId="5" quotePrefix="1" applyFont="1"/>
    <xf numFmtId="0" fontId="9" fillId="0" borderId="1" xfId="5" applyFont="1" applyFill="1" applyBorder="1"/>
    <xf numFmtId="0" fontId="9" fillId="0" borderId="1" xfId="5" applyFont="1" applyBorder="1"/>
    <xf numFmtId="0" fontId="3" fillId="0" borderId="0" xfId="5" applyFont="1" applyFill="1" applyProtection="1"/>
    <xf numFmtId="168" fontId="3" fillId="0" borderId="0" xfId="7" applyNumberFormat="1" applyFont="1" applyFill="1" applyProtection="1">
      <protection locked="0"/>
    </xf>
    <xf numFmtId="168" fontId="9" fillId="0" borderId="0" xfId="7" applyNumberFormat="1" applyFont="1" applyFill="1"/>
    <xf numFmtId="176" fontId="9" fillId="0" borderId="0" xfId="7" applyNumberFormat="1" applyFont="1" applyFill="1"/>
    <xf numFmtId="176" fontId="9" fillId="0" borderId="0" xfId="5" applyNumberFormat="1" applyFont="1" applyFill="1"/>
    <xf numFmtId="0" fontId="9" fillId="0" borderId="0" xfId="5" applyFont="1" applyFill="1"/>
    <xf numFmtId="1" fontId="9" fillId="0" borderId="0" xfId="5" applyNumberFormat="1" applyFont="1" applyFill="1"/>
    <xf numFmtId="168" fontId="9" fillId="0" borderId="0" xfId="7" applyNumberFormat="1" applyFont="1"/>
    <xf numFmtId="0" fontId="4" fillId="0" borderId="0" xfId="5" applyFont="1"/>
    <xf numFmtId="0" fontId="9" fillId="0" borderId="1" xfId="5" applyFont="1" applyBorder="1" applyAlignment="1">
      <alignment horizontal="centerContinuous"/>
    </xf>
    <xf numFmtId="0" fontId="3" fillId="0" borderId="2" xfId="5" applyFont="1" applyBorder="1"/>
    <xf numFmtId="10" fontId="3" fillId="0" borderId="0" xfId="7" applyNumberFormat="1" applyFont="1"/>
    <xf numFmtId="0" fontId="12" fillId="0" borderId="0" xfId="5" applyFont="1" applyProtection="1">
      <protection locked="0"/>
    </xf>
    <xf numFmtId="0" fontId="8" fillId="0" borderId="0" xfId="5" applyFont="1" applyFill="1" applyAlignment="1">
      <alignment horizontal="centerContinuous"/>
    </xf>
    <xf numFmtId="0" fontId="9" fillId="0" borderId="0" xfId="5" applyFont="1" applyFill="1" applyAlignment="1">
      <alignment horizontal="centerContinuous"/>
    </xf>
    <xf numFmtId="0" fontId="9" fillId="0" borderId="0" xfId="5" applyFont="1" applyFill="1" applyAlignment="1">
      <alignment horizontal="left"/>
    </xf>
    <xf numFmtId="0" fontId="4" fillId="0" borderId="0" xfId="5" applyFont="1" applyFill="1" applyAlignment="1">
      <alignment horizontal="centerContinuous"/>
    </xf>
    <xf numFmtId="0" fontId="8" fillId="0" borderId="1" xfId="5" applyFont="1" applyFill="1" applyBorder="1"/>
    <xf numFmtId="177" fontId="9" fillId="0" borderId="0" xfId="6" applyNumberFormat="1" applyFont="1" applyFill="1" applyBorder="1"/>
    <xf numFmtId="0" fontId="3" fillId="0" borderId="0" xfId="5" applyFont="1" applyFill="1" applyBorder="1" applyProtection="1"/>
    <xf numFmtId="166" fontId="3" fillId="0" borderId="0" xfId="5" applyNumberFormat="1" applyFont="1" applyFill="1" applyBorder="1" applyProtection="1"/>
    <xf numFmtId="168" fontId="9" fillId="0" borderId="3" xfId="7" applyNumberFormat="1" applyFont="1" applyFill="1" applyBorder="1"/>
    <xf numFmtId="0" fontId="9" fillId="0" borderId="0" xfId="5" quotePrefix="1" applyFont="1" applyFill="1"/>
    <xf numFmtId="166" fontId="12" fillId="0" borderId="0" xfId="5" applyNumberFormat="1" applyFont="1" applyFill="1" applyBorder="1" applyProtection="1"/>
    <xf numFmtId="166" fontId="12" fillId="0" borderId="0" xfId="5" applyNumberFormat="1" applyFont="1" applyFill="1" applyBorder="1" applyProtection="1">
      <protection locked="0"/>
    </xf>
    <xf numFmtId="0" fontId="12" fillId="0" borderId="0" xfId="5" applyFont="1" applyFill="1" applyBorder="1" applyProtection="1"/>
    <xf numFmtId="0" fontId="4" fillId="0" borderId="0" xfId="5" applyFont="1" applyFill="1" applyBorder="1" applyProtection="1"/>
    <xf numFmtId="166" fontId="4" fillId="0" borderId="0" xfId="5" applyNumberFormat="1" applyFont="1" applyFill="1" applyBorder="1" applyProtection="1"/>
    <xf numFmtId="166" fontId="4" fillId="0" borderId="0" xfId="5" applyNumberFormat="1" applyFont="1" applyFill="1" applyBorder="1" applyAlignment="1" applyProtection="1">
      <alignment horizontal="center"/>
    </xf>
    <xf numFmtId="0" fontId="9" fillId="0" borderId="0" xfId="5" applyFont="1" applyFill="1" applyBorder="1"/>
    <xf numFmtId="166" fontId="13" fillId="0" borderId="0" xfId="5" applyNumberFormat="1" applyFont="1" applyFill="1" applyBorder="1" applyProtection="1">
      <protection locked="0"/>
    </xf>
    <xf numFmtId="0" fontId="14" fillId="0" borderId="0" xfId="5" applyFont="1" applyFill="1"/>
    <xf numFmtId="174" fontId="9" fillId="0" borderId="0" xfId="6" applyNumberFormat="1" applyFont="1" applyFill="1"/>
    <xf numFmtId="174" fontId="9" fillId="0" borderId="0" xfId="6" applyNumberFormat="1" applyFont="1" applyFill="1" applyAlignment="1">
      <alignment vertical="center"/>
    </xf>
    <xf numFmtId="165" fontId="16" fillId="0" borderId="0" xfId="8" applyFont="1"/>
    <xf numFmtId="165" fontId="17" fillId="0" borderId="0" xfId="8" applyFont="1" applyAlignment="1">
      <alignment horizontal="right"/>
    </xf>
    <xf numFmtId="165" fontId="3" fillId="0" borderId="0" xfId="8" applyFont="1" applyAlignment="1">
      <alignment horizontal="centerContinuous"/>
    </xf>
    <xf numFmtId="165" fontId="3" fillId="0" borderId="0" xfId="8" applyFont="1"/>
    <xf numFmtId="165" fontId="3" fillId="0" borderId="0" xfId="8" applyFont="1" applyAlignment="1">
      <alignment horizontal="left"/>
    </xf>
    <xf numFmtId="165" fontId="18" fillId="0" borderId="0" xfId="8" applyFont="1" applyAlignment="1">
      <alignment horizontal="centerContinuous"/>
    </xf>
    <xf numFmtId="165" fontId="18" fillId="0" borderId="0" xfId="8" applyFont="1" applyAlignment="1">
      <alignment horizontal="center"/>
    </xf>
    <xf numFmtId="165" fontId="18" fillId="0" borderId="0" xfId="8" applyFont="1" applyBorder="1" applyAlignment="1">
      <alignment horizontal="centerContinuous"/>
    </xf>
    <xf numFmtId="165" fontId="3" fillId="0" borderId="0" xfId="8" applyFont="1" applyBorder="1" applyAlignment="1">
      <alignment horizontal="centerContinuous"/>
    </xf>
    <xf numFmtId="165" fontId="3" fillId="0" borderId="4" xfId="8" applyFont="1" applyBorder="1" applyAlignment="1">
      <alignment horizontal="centerContinuous"/>
    </xf>
    <xf numFmtId="165" fontId="3" fillId="0" borderId="4" xfId="8" applyFont="1" applyBorder="1" applyAlignment="1">
      <alignment horizontal="left"/>
    </xf>
    <xf numFmtId="165" fontId="3" fillId="0" borderId="4" xfId="8" applyFont="1" applyBorder="1"/>
    <xf numFmtId="165" fontId="16" fillId="0" borderId="4" xfId="8" applyFont="1" applyBorder="1"/>
    <xf numFmtId="165" fontId="3" fillId="0" borderId="4" xfId="8" quotePrefix="1" applyFont="1" applyFill="1" applyBorder="1" applyAlignment="1">
      <alignment horizontal="left"/>
    </xf>
    <xf numFmtId="165" fontId="3" fillId="0" borderId="4" xfId="8" applyFont="1" applyFill="1" applyBorder="1" applyAlignment="1">
      <alignment horizontal="left"/>
    </xf>
    <xf numFmtId="165" fontId="3" fillId="0" borderId="0" xfId="8" quotePrefix="1" applyFont="1" applyBorder="1" applyAlignment="1">
      <alignment horizontal="left"/>
    </xf>
    <xf numFmtId="165" fontId="3" fillId="0" borderId="4" xfId="8" quotePrefix="1" applyFont="1" applyBorder="1" applyAlignment="1">
      <alignment horizontal="left"/>
    </xf>
    <xf numFmtId="165" fontId="3" fillId="0" borderId="4" xfId="8" applyFont="1" applyBorder="1" applyAlignment="1">
      <alignment horizontal="right"/>
    </xf>
    <xf numFmtId="6" fontId="3" fillId="0" borderId="4" xfId="8" quotePrefix="1" applyNumberFormat="1" applyFont="1" applyBorder="1" applyAlignment="1">
      <alignment horizontal="right"/>
    </xf>
    <xf numFmtId="165" fontId="3" fillId="0" borderId="5" xfId="8" applyFont="1" applyBorder="1" applyAlignment="1">
      <alignment horizontal="left"/>
    </xf>
    <xf numFmtId="165" fontId="3" fillId="0" borderId="6" xfId="8" applyFont="1" applyBorder="1" applyAlignment="1">
      <alignment horizontal="left"/>
    </xf>
    <xf numFmtId="165" fontId="3" fillId="0" borderId="7" xfId="8" applyFont="1" applyBorder="1"/>
    <xf numFmtId="165" fontId="3" fillId="0" borderId="8" xfId="8" applyFont="1" applyBorder="1"/>
    <xf numFmtId="165" fontId="3" fillId="0" borderId="9" xfId="8" applyFont="1" applyBorder="1" applyAlignment="1">
      <alignment horizontal="left"/>
    </xf>
    <xf numFmtId="165" fontId="3" fillId="0" borderId="10" xfId="8" applyFont="1" applyBorder="1"/>
    <xf numFmtId="165" fontId="3" fillId="0" borderId="11" xfId="8" applyFont="1" applyBorder="1"/>
    <xf numFmtId="165" fontId="3" fillId="0" borderId="12" xfId="8" applyFont="1" applyBorder="1"/>
    <xf numFmtId="165" fontId="3" fillId="0" borderId="10" xfId="8" quotePrefix="1" applyFont="1" applyBorder="1" applyAlignment="1">
      <alignment horizontal="centerContinuous"/>
    </xf>
    <xf numFmtId="165" fontId="16" fillId="0" borderId="4" xfId="8" applyFont="1" applyBorder="1" applyAlignment="1">
      <alignment horizontal="centerContinuous"/>
    </xf>
    <xf numFmtId="165" fontId="3" fillId="0" borderId="11" xfId="8" applyFont="1" applyBorder="1" applyAlignment="1">
      <alignment horizontal="centerContinuous"/>
    </xf>
    <xf numFmtId="165" fontId="3" fillId="0" borderId="13" xfId="8" applyFont="1" applyBorder="1" applyAlignment="1">
      <alignment horizontal="centerContinuous"/>
    </xf>
    <xf numFmtId="165" fontId="16" fillId="0" borderId="0" xfId="8" applyFont="1" applyAlignment="1">
      <alignment horizontal="centerContinuous"/>
    </xf>
    <xf numFmtId="165" fontId="3" fillId="0" borderId="14" xfId="8" applyFont="1" applyBorder="1" applyAlignment="1">
      <alignment horizontal="centerContinuous"/>
    </xf>
    <xf numFmtId="165" fontId="3" fillId="0" borderId="10" xfId="8" applyFont="1" applyBorder="1" applyAlignment="1">
      <alignment horizontal="centerContinuous"/>
    </xf>
    <xf numFmtId="165" fontId="3" fillId="0" borderId="15" xfId="8" applyFont="1" applyBorder="1" applyAlignment="1">
      <alignment horizontal="center"/>
    </xf>
    <xf numFmtId="165" fontId="3" fillId="0" borderId="16" xfId="8" applyFont="1" applyBorder="1" applyAlignment="1">
      <alignment horizontal="centerContinuous"/>
    </xf>
    <xf numFmtId="165" fontId="3" fillId="0" borderId="17" xfId="8" applyFont="1" applyBorder="1" applyAlignment="1">
      <alignment horizontal="centerContinuous"/>
    </xf>
    <xf numFmtId="165" fontId="3" fillId="0" borderId="17" xfId="8" applyFont="1" applyBorder="1" applyAlignment="1">
      <alignment horizontal="left"/>
    </xf>
    <xf numFmtId="165" fontId="3" fillId="0" borderId="16" xfId="8" applyFont="1" applyBorder="1"/>
    <xf numFmtId="6" fontId="3" fillId="0" borderId="17" xfId="8" applyNumberFormat="1" applyFont="1" applyBorder="1" applyAlignment="1">
      <alignment horizontal="centerContinuous"/>
    </xf>
    <xf numFmtId="165" fontId="16" fillId="0" borderId="17" xfId="8" applyFont="1" applyBorder="1" applyAlignment="1">
      <alignment horizontal="centerContinuous"/>
    </xf>
    <xf numFmtId="37" fontId="3" fillId="0" borderId="16" xfId="8" applyNumberFormat="1" applyFont="1" applyBorder="1" applyAlignment="1" applyProtection="1">
      <alignment horizontal="centerContinuous"/>
    </xf>
    <xf numFmtId="165" fontId="3" fillId="0" borderId="18" xfId="8" applyFont="1" applyBorder="1" applyAlignment="1">
      <alignment horizontal="centerContinuous"/>
    </xf>
    <xf numFmtId="165" fontId="3" fillId="0" borderId="0" xfId="8" quotePrefix="1" applyFont="1" applyAlignment="1">
      <alignment horizontal="left"/>
    </xf>
    <xf numFmtId="165" fontId="3" fillId="0" borderId="1" xfId="8" applyFont="1" applyBorder="1"/>
    <xf numFmtId="165" fontId="16" fillId="0" borderId="1" xfId="8" applyFont="1" applyBorder="1"/>
    <xf numFmtId="165" fontId="3" fillId="0" borderId="0" xfId="8" applyFont="1" applyBorder="1"/>
    <xf numFmtId="0" fontId="1" fillId="0" borderId="19" xfId="9" applyNumberFormat="1" applyBorder="1" applyAlignment="1">
      <alignment horizontal="center" wrapText="1"/>
    </xf>
    <xf numFmtId="0" fontId="19" fillId="0" borderId="19" xfId="9" applyNumberFormat="1" applyFont="1" applyBorder="1" applyAlignment="1">
      <alignment horizontal="center" wrapText="1"/>
    </xf>
    <xf numFmtId="173" fontId="19" fillId="0" borderId="19" xfId="9" applyNumberFormat="1" applyFont="1" applyBorder="1" applyAlignment="1">
      <alignment horizontal="center"/>
    </xf>
    <xf numFmtId="2" fontId="19" fillId="0" borderId="19" xfId="10" applyNumberFormat="1" applyFont="1" applyBorder="1" applyAlignment="1">
      <alignment horizontal="center" wrapText="1"/>
    </xf>
    <xf numFmtId="178" fontId="19" fillId="0" borderId="19" xfId="9" applyNumberFormat="1" applyFont="1" applyBorder="1" applyAlignment="1">
      <alignment horizontal="center" wrapText="1"/>
    </xf>
    <xf numFmtId="0" fontId="19" fillId="0" borderId="19" xfId="9" applyNumberFormat="1" applyFont="1" applyBorder="1" applyAlignment="1">
      <alignment horizontal="center"/>
    </xf>
    <xf numFmtId="0" fontId="19" fillId="0" borderId="19" xfId="11" applyNumberFormat="1" applyFont="1" applyBorder="1" applyAlignment="1">
      <alignment horizontal="center" wrapText="1"/>
    </xf>
    <xf numFmtId="0" fontId="1" fillId="0" borderId="20" xfId="9" applyNumberFormat="1" applyBorder="1" applyAlignment="1">
      <alignment horizontal="center"/>
    </xf>
    <xf numFmtId="173" fontId="1" fillId="0" borderId="20" xfId="9" applyNumberFormat="1" applyBorder="1" applyAlignment="1">
      <alignment horizontal="center"/>
    </xf>
    <xf numFmtId="2" fontId="0" fillId="0" borderId="20" xfId="10" applyNumberFormat="1" applyFont="1" applyBorder="1" applyAlignment="1">
      <alignment horizontal="center"/>
    </xf>
    <xf numFmtId="178" fontId="1" fillId="0" borderId="20" xfId="9" applyNumberFormat="1" applyBorder="1" applyAlignment="1">
      <alignment horizontal="center"/>
    </xf>
    <xf numFmtId="0" fontId="0" fillId="0" borderId="20" xfId="11" applyNumberFormat="1" applyFont="1" applyBorder="1" applyAlignment="1">
      <alignment horizontal="center"/>
    </xf>
    <xf numFmtId="0" fontId="0" fillId="0" borderId="20" xfId="11" quotePrefix="1" applyNumberFormat="1" applyFont="1" applyFill="1" applyBorder="1" applyAlignment="1">
      <alignment horizontal="center"/>
    </xf>
    <xf numFmtId="0" fontId="1" fillId="0" borderId="20" xfId="9" quotePrefix="1" applyNumberFormat="1" applyFill="1" applyBorder="1" applyAlignment="1">
      <alignment horizontal="center"/>
    </xf>
    <xf numFmtId="0" fontId="1" fillId="0" borderId="21" xfId="9" applyNumberFormat="1" applyBorder="1" applyAlignment="1">
      <alignment horizontal="center"/>
    </xf>
    <xf numFmtId="0" fontId="1" fillId="0" borderId="0" xfId="9"/>
    <xf numFmtId="0" fontId="1" fillId="0" borderId="0" xfId="9" applyAlignment="1">
      <alignment horizontal="left"/>
    </xf>
    <xf numFmtId="173" fontId="1" fillId="0" borderId="0" xfId="9" applyNumberFormat="1" applyAlignment="1">
      <alignment horizontal="center"/>
    </xf>
    <xf numFmtId="2" fontId="0" fillId="0" borderId="0" xfId="10" applyNumberFormat="1" applyFont="1" applyAlignment="1">
      <alignment horizontal="center"/>
    </xf>
    <xf numFmtId="1" fontId="1" fillId="0" borderId="0" xfId="9" applyNumberFormat="1" applyAlignment="1">
      <alignment horizontal="center"/>
    </xf>
    <xf numFmtId="178" fontId="1" fillId="0" borderId="0" xfId="9" applyNumberFormat="1" applyAlignment="1">
      <alignment horizontal="center"/>
    </xf>
    <xf numFmtId="2" fontId="1" fillId="0" borderId="0" xfId="9" applyNumberFormat="1" applyAlignment="1">
      <alignment horizontal="center"/>
    </xf>
    <xf numFmtId="2" fontId="0" fillId="0" borderId="0" xfId="11" applyNumberFormat="1" applyFont="1" applyAlignment="1">
      <alignment horizontal="center"/>
    </xf>
    <xf numFmtId="0" fontId="1" fillId="0" borderId="0" xfId="9" applyAlignment="1">
      <alignment horizontal="center"/>
    </xf>
    <xf numFmtId="0" fontId="19" fillId="0" borderId="22" xfId="9" applyFont="1" applyBorder="1" applyAlignment="1">
      <alignment horizontal="center"/>
    </xf>
    <xf numFmtId="0" fontId="19" fillId="0" borderId="23" xfId="9" applyFont="1" applyBorder="1" applyAlignment="1">
      <alignment horizontal="center"/>
    </xf>
    <xf numFmtId="173" fontId="19" fillId="0" borderId="23" xfId="9" applyNumberFormat="1" applyFont="1" applyBorder="1" applyAlignment="1">
      <alignment horizontal="center"/>
    </xf>
    <xf numFmtId="2" fontId="19" fillId="0" borderId="23" xfId="10" applyNumberFormat="1" applyFont="1" applyBorder="1" applyAlignment="1">
      <alignment horizontal="center"/>
    </xf>
    <xf numFmtId="0" fontId="1" fillId="0" borderId="0" xfId="9" applyAlignment="1">
      <alignment horizontal="right"/>
    </xf>
    <xf numFmtId="179" fontId="0" fillId="0" borderId="0" xfId="10" applyNumberFormat="1" applyFont="1" applyAlignment="1">
      <alignment horizontal="center"/>
    </xf>
    <xf numFmtId="0" fontId="1" fillId="0" borderId="25" xfId="9" applyBorder="1" applyAlignment="1">
      <alignment horizontal="center"/>
    </xf>
    <xf numFmtId="1" fontId="1" fillId="0" borderId="25" xfId="9" applyNumberFormat="1" applyBorder="1" applyAlignment="1">
      <alignment horizontal="center"/>
    </xf>
    <xf numFmtId="179" fontId="0" fillId="0" borderId="25" xfId="10" applyNumberFormat="1" applyFont="1" applyBorder="1" applyAlignment="1">
      <alignment horizontal="center"/>
    </xf>
    <xf numFmtId="0" fontId="1" fillId="0" borderId="22" xfId="9" applyBorder="1" applyAlignment="1">
      <alignment horizontal="center"/>
    </xf>
    <xf numFmtId="9" fontId="0" fillId="0" borderId="0" xfId="10" applyFont="1" applyAlignment="1">
      <alignment horizontal="center"/>
    </xf>
    <xf numFmtId="0" fontId="19" fillId="0" borderId="0" xfId="9" applyFont="1" applyBorder="1" applyAlignment="1"/>
    <xf numFmtId="0" fontId="19" fillId="0" borderId="26" xfId="9" applyFont="1" applyBorder="1" applyAlignment="1">
      <alignment horizontal="center"/>
    </xf>
    <xf numFmtId="173" fontId="19" fillId="0" borderId="26" xfId="9" applyNumberFormat="1" applyFont="1" applyBorder="1" applyAlignment="1">
      <alignment horizontal="center"/>
    </xf>
    <xf numFmtId="2" fontId="19" fillId="0" borderId="26" xfId="10" applyNumberFormat="1" applyFont="1" applyFill="1" applyBorder="1" applyAlignment="1">
      <alignment horizontal="center"/>
    </xf>
    <xf numFmtId="2" fontId="19" fillId="0" borderId="26" xfId="10" applyNumberFormat="1" applyFont="1" applyBorder="1" applyAlignment="1">
      <alignment horizontal="center"/>
    </xf>
    <xf numFmtId="181" fontId="19" fillId="0" borderId="26" xfId="9" applyNumberFormat="1" applyFont="1" applyBorder="1" applyAlignment="1">
      <alignment horizontal="center"/>
    </xf>
    <xf numFmtId="178" fontId="19" fillId="0" borderId="26" xfId="9" applyNumberFormat="1" applyFont="1" applyBorder="1" applyAlignment="1">
      <alignment horizontal="center" wrapText="1"/>
    </xf>
    <xf numFmtId="2" fontId="19" fillId="0" borderId="26" xfId="11" applyNumberFormat="1" applyFont="1" applyFill="1" applyBorder="1" applyAlignment="1">
      <alignment horizontal="center" wrapText="1"/>
    </xf>
    <xf numFmtId="0" fontId="19" fillId="0" borderId="26" xfId="9" applyFont="1" applyFill="1" applyBorder="1" applyAlignment="1">
      <alignment horizontal="center" wrapText="1"/>
    </xf>
    <xf numFmtId="2" fontId="19" fillId="0" borderId="0" xfId="11" applyNumberFormat="1" applyFont="1" applyFill="1" applyAlignment="1">
      <alignment horizontal="center"/>
    </xf>
    <xf numFmtId="2" fontId="0" fillId="0" borderId="0" xfId="11" applyNumberFormat="1" applyFont="1" applyBorder="1" applyAlignment="1">
      <alignment horizontal="center"/>
    </xf>
    <xf numFmtId="173" fontId="1" fillId="0" borderId="20" xfId="9" applyNumberFormat="1" applyFill="1" applyBorder="1" applyAlignment="1">
      <alignment horizontal="center"/>
    </xf>
    <xf numFmtId="0" fontId="1" fillId="0" borderId="20" xfId="9" applyNumberFormat="1" applyFill="1" applyBorder="1" applyAlignment="1">
      <alignment horizontal="center"/>
    </xf>
    <xf numFmtId="165" fontId="3" fillId="0" borderId="0" xfId="4" quotePrefix="1" applyFont="1" applyBorder="1" applyAlignment="1">
      <alignment horizontal="left" wrapText="1"/>
    </xf>
    <xf numFmtId="0" fontId="3" fillId="0" borderId="0" xfId="5" applyFont="1" applyBorder="1" applyAlignment="1">
      <alignment horizontal="center"/>
    </xf>
    <xf numFmtId="0" fontId="19" fillId="0" borderId="25" xfId="9" applyFont="1" applyBorder="1" applyAlignment="1">
      <alignment horizontal="center"/>
    </xf>
    <xf numFmtId="0" fontId="19" fillId="0" borderId="0" xfId="9" applyFont="1" applyBorder="1" applyAlignment="1">
      <alignment horizontal="center"/>
    </xf>
    <xf numFmtId="178" fontId="19" fillId="0" borderId="23" xfId="9" applyNumberFormat="1" applyFont="1" applyBorder="1" applyAlignment="1">
      <alignment horizontal="center"/>
    </xf>
    <xf numFmtId="180" fontId="1" fillId="0" borderId="24" xfId="9" applyNumberFormat="1" applyBorder="1" applyAlignment="1">
      <alignment horizontal="center"/>
    </xf>
    <xf numFmtId="180" fontId="1" fillId="0" borderId="0" xfId="9" applyNumberFormat="1" applyAlignment="1">
      <alignment horizontal="center"/>
    </xf>
    <xf numFmtId="180" fontId="1" fillId="0" borderId="25" xfId="9" applyNumberFormat="1" applyBorder="1" applyAlignment="1">
      <alignment horizontal="center"/>
    </xf>
    <xf numFmtId="180" fontId="1" fillId="0" borderId="22" xfId="9" applyNumberFormat="1" applyBorder="1" applyAlignment="1">
      <alignment horizontal="center"/>
    </xf>
  </cellXfs>
  <cellStyles count="12">
    <cellStyle name="Comma" xfId="1" builtinId="3"/>
    <cellStyle name="Comma 2" xfId="6" xr:uid="{9218E693-B924-4B69-8B05-6DAE05ED77B1}"/>
    <cellStyle name="Currency 2" xfId="11" xr:uid="{8ED7A821-ACF3-4D02-82B7-53397A6B1B0D}"/>
    <cellStyle name="Normal" xfId="0" builtinId="0"/>
    <cellStyle name="Normal 2" xfId="2" xr:uid="{00000000-0005-0000-0000-000002000000}"/>
    <cellStyle name="Normal 3" xfId="5" xr:uid="{82D8EED4-F1DE-40AC-8285-716063D37226}"/>
    <cellStyle name="Normal 4" xfId="3" xr:uid="{00000000-0005-0000-0000-000003000000}"/>
    <cellStyle name="Normal 5" xfId="4" xr:uid="{00000000-0005-0000-0000-000004000000}"/>
    <cellStyle name="Normal 6" xfId="8" xr:uid="{D965A07C-4A50-48C0-8B09-7C7684930DAD}"/>
    <cellStyle name="Normal 7" xfId="9" xr:uid="{AD0E35CA-CE31-4856-912D-85B502246C17}"/>
    <cellStyle name="Percent 2" xfId="7" xr:uid="{DF024C91-6DD7-417F-8363-A165ABBDA5C2}"/>
    <cellStyle name="Percent 3" xfId="10" xr:uid="{E5A21FBF-8470-45FD-9661-A951A161D0A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EXOS\Plexos\Plexos%20Output%20Report%20Creator\Plexos%206%20Report%20Crea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Page"/>
      <sheetName val="Generators"/>
      <sheetName val="Fuel"/>
      <sheetName val="Physical Contracts"/>
      <sheetName val="Nodes"/>
      <sheetName val="Template"/>
      <sheetName val="HeatValue"/>
      <sheetName val="Print"/>
      <sheetName val="Backup Template"/>
      <sheetName val="Accounting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H30"/>
  <sheetViews>
    <sheetView showGridLines="0" tabSelected="1" zoomScale="110" zoomScaleNormal="110" workbookViewId="0"/>
  </sheetViews>
  <sheetFormatPr defaultColWidth="9" defaultRowHeight="12.75" x14ac:dyDescent="0.2"/>
  <cols>
    <col min="1" max="1" width="9.375" style="1" customWidth="1"/>
    <col min="2" max="2" width="8.125" style="1" customWidth="1"/>
    <col min="3" max="3" width="2.625" style="1" customWidth="1"/>
    <col min="4" max="4" width="12.625" style="1" customWidth="1"/>
    <col min="5" max="5" width="1.25" style="1" customWidth="1"/>
    <col min="6" max="6" width="12.625" style="1" customWidth="1"/>
    <col min="7" max="7" width="1.5" style="1" customWidth="1"/>
    <col min="8" max="8" width="12.625" style="1" customWidth="1"/>
    <col min="9" max="9" width="10.375" style="1" customWidth="1"/>
    <col min="10" max="16384" width="9" style="1"/>
  </cols>
  <sheetData>
    <row r="1" spans="1:8" s="24" customFormat="1" ht="17.100000000000001" customHeight="1" x14ac:dyDescent="0.2">
      <c r="A1" s="12" t="s">
        <v>13</v>
      </c>
      <c r="B1" s="16"/>
      <c r="C1" s="16"/>
      <c r="D1" s="16"/>
      <c r="E1" s="16"/>
      <c r="F1" s="16"/>
      <c r="G1" s="16"/>
      <c r="H1" s="16"/>
    </row>
    <row r="2" spans="1:8" s="24" customFormat="1" x14ac:dyDescent="0.2">
      <c r="A2" s="12" t="s">
        <v>17</v>
      </c>
      <c r="B2" s="16"/>
      <c r="C2" s="16"/>
      <c r="D2" s="16"/>
      <c r="E2" s="16"/>
      <c r="F2" s="16"/>
      <c r="G2" s="16"/>
      <c r="H2" s="16"/>
    </row>
    <row r="3" spans="1:8" s="24" customFormat="1" x14ac:dyDescent="0.2">
      <c r="A3" s="16" t="s">
        <v>18</v>
      </c>
      <c r="B3" s="12"/>
      <c r="C3" s="12"/>
      <c r="D3" s="12"/>
      <c r="E3" s="12"/>
      <c r="F3" s="12"/>
      <c r="G3" s="12"/>
      <c r="H3" s="12"/>
    </row>
    <row r="4" spans="1:8" s="24" customFormat="1" x14ac:dyDescent="0.2">
      <c r="A4" s="15" t="s">
        <v>38</v>
      </c>
      <c r="B4" s="12"/>
      <c r="C4" s="12"/>
      <c r="D4" s="12"/>
      <c r="E4" s="12"/>
      <c r="F4" s="12"/>
      <c r="G4" s="12"/>
      <c r="H4" s="12"/>
    </row>
    <row r="5" spans="1:8" s="24" customFormat="1" x14ac:dyDescent="0.2">
      <c r="A5" s="12"/>
      <c r="B5" s="12"/>
      <c r="C5" s="12"/>
      <c r="D5" s="12"/>
      <c r="E5" s="12"/>
      <c r="F5" s="12"/>
      <c r="G5" s="12"/>
      <c r="H5" s="12"/>
    </row>
    <row r="8" spans="1:8" x14ac:dyDescent="0.2">
      <c r="C8" s="26"/>
      <c r="D8" s="4" t="s">
        <v>0</v>
      </c>
      <c r="E8" s="4"/>
      <c r="F8" s="2"/>
      <c r="G8" s="2"/>
      <c r="H8" s="2"/>
    </row>
    <row r="9" spans="1:8" x14ac:dyDescent="0.2">
      <c r="C9" s="5"/>
      <c r="D9" s="5" t="s">
        <v>9</v>
      </c>
      <c r="E9" s="5"/>
      <c r="F9" s="5" t="s">
        <v>10</v>
      </c>
      <c r="G9" s="5"/>
      <c r="H9" s="5" t="s">
        <v>2</v>
      </c>
    </row>
    <row r="10" spans="1:8" x14ac:dyDescent="0.2">
      <c r="A10" s="25" t="s">
        <v>1</v>
      </c>
      <c r="C10" s="5"/>
      <c r="D10" s="25" t="s">
        <v>3</v>
      </c>
      <c r="E10" s="5"/>
      <c r="F10" s="25" t="s">
        <v>3</v>
      </c>
      <c r="G10" s="5"/>
      <c r="H10" s="25" t="s">
        <v>3</v>
      </c>
    </row>
    <row r="11" spans="1:8" ht="15" customHeight="1" x14ac:dyDescent="0.2">
      <c r="A11" s="7" t="s">
        <v>24</v>
      </c>
      <c r="B11" s="36" t="s">
        <v>38</v>
      </c>
      <c r="C11" s="8"/>
      <c r="D11" s="28"/>
      <c r="E11" s="17"/>
      <c r="F11" s="27">
        <v>30.34</v>
      </c>
      <c r="G11" s="17"/>
      <c r="H11" s="27">
        <f>+F11</f>
        <v>30.34</v>
      </c>
    </row>
    <row r="12" spans="1:8" x14ac:dyDescent="0.2">
      <c r="A12" s="7" t="s">
        <v>25</v>
      </c>
      <c r="B12" s="36" t="s">
        <v>38</v>
      </c>
      <c r="C12" s="8"/>
      <c r="D12" s="28"/>
      <c r="E12" s="17"/>
      <c r="F12" s="28">
        <v>30.04</v>
      </c>
      <c r="G12" s="17"/>
      <c r="H12" s="28">
        <f>+F12</f>
        <v>30.04</v>
      </c>
    </row>
    <row r="13" spans="1:8" x14ac:dyDescent="0.2">
      <c r="A13" s="7" t="s">
        <v>26</v>
      </c>
      <c r="B13" s="36" t="s">
        <v>38</v>
      </c>
      <c r="C13" s="8"/>
      <c r="D13" s="28"/>
      <c r="E13" s="17"/>
      <c r="F13" s="28">
        <v>24.24</v>
      </c>
      <c r="G13" s="17"/>
      <c r="H13" s="28">
        <f>+F13</f>
        <v>24.24</v>
      </c>
    </row>
    <row r="14" spans="1:8" x14ac:dyDescent="0.2">
      <c r="A14" s="7" t="s">
        <v>27</v>
      </c>
      <c r="B14" s="36" t="s">
        <v>38</v>
      </c>
      <c r="C14" s="8"/>
      <c r="D14" s="28"/>
      <c r="E14" s="17"/>
      <c r="F14" s="28">
        <v>23.14</v>
      </c>
      <c r="G14" s="17"/>
      <c r="H14" s="28">
        <f>+F14</f>
        <v>23.14</v>
      </c>
    </row>
    <row r="15" spans="1:8" x14ac:dyDescent="0.2">
      <c r="A15" s="7" t="s">
        <v>5</v>
      </c>
      <c r="B15" s="36" t="s">
        <v>38</v>
      </c>
      <c r="C15" s="8"/>
      <c r="D15" s="28"/>
      <c r="E15" s="17"/>
      <c r="F15" s="28">
        <v>17.920000000000002</v>
      </c>
      <c r="G15" s="17"/>
      <c r="H15" s="28">
        <f>+F15</f>
        <v>17.920000000000002</v>
      </c>
    </row>
    <row r="16" spans="1:8" x14ac:dyDescent="0.2">
      <c r="A16" s="7" t="s">
        <v>6</v>
      </c>
      <c r="B16" s="36" t="s">
        <v>38</v>
      </c>
      <c r="C16" s="8"/>
      <c r="D16" s="27">
        <v>18.39</v>
      </c>
      <c r="E16" s="17"/>
      <c r="F16" s="28">
        <v>16.98</v>
      </c>
      <c r="G16" s="17"/>
      <c r="H16" s="28">
        <v>17.32</v>
      </c>
    </row>
    <row r="17" spans="1:8" x14ac:dyDescent="0.2">
      <c r="A17" s="7" t="s">
        <v>4</v>
      </c>
      <c r="B17" s="36" t="s">
        <v>38</v>
      </c>
      <c r="C17" s="8"/>
      <c r="D17" s="28">
        <v>26.04</v>
      </c>
      <c r="E17" s="17"/>
      <c r="F17" s="28">
        <v>25.91</v>
      </c>
      <c r="G17" s="17"/>
      <c r="H17" s="28">
        <v>25.94</v>
      </c>
    </row>
    <row r="18" spans="1:8" x14ac:dyDescent="0.2">
      <c r="A18" s="7" t="s">
        <v>19</v>
      </c>
      <c r="B18" s="36" t="s">
        <v>38</v>
      </c>
      <c r="C18" s="8"/>
      <c r="D18" s="28">
        <v>28.68</v>
      </c>
      <c r="E18" s="17"/>
      <c r="F18" s="28">
        <v>25.77</v>
      </c>
      <c r="G18" s="17"/>
      <c r="H18" s="28">
        <v>26.43</v>
      </c>
    </row>
    <row r="19" spans="1:8" x14ac:dyDescent="0.2">
      <c r="A19" s="7" t="s">
        <v>20</v>
      </c>
      <c r="B19" s="36" t="s">
        <v>38</v>
      </c>
      <c r="C19" s="8"/>
      <c r="D19" s="28">
        <v>24.65</v>
      </c>
      <c r="E19" s="17"/>
      <c r="F19" s="28">
        <v>24.65</v>
      </c>
      <c r="G19" s="17"/>
      <c r="H19" s="28">
        <v>24.65</v>
      </c>
    </row>
    <row r="20" spans="1:8" x14ac:dyDescent="0.2">
      <c r="A20" s="7" t="s">
        <v>21</v>
      </c>
      <c r="B20" s="36" t="s">
        <v>38</v>
      </c>
      <c r="C20" s="8"/>
      <c r="D20" s="28"/>
      <c r="E20" s="17"/>
      <c r="F20" s="28">
        <v>24.58</v>
      </c>
      <c r="G20" s="17"/>
      <c r="H20" s="28">
        <f>+F20</f>
        <v>24.58</v>
      </c>
    </row>
    <row r="21" spans="1:8" x14ac:dyDescent="0.2">
      <c r="A21" s="7" t="s">
        <v>22</v>
      </c>
      <c r="B21" s="36" t="s">
        <v>38</v>
      </c>
      <c r="C21" s="8"/>
      <c r="D21" s="28"/>
      <c r="E21" s="17"/>
      <c r="F21" s="28">
        <v>25.47</v>
      </c>
      <c r="G21" s="17"/>
      <c r="H21" s="28">
        <f>+F21</f>
        <v>25.47</v>
      </c>
    </row>
    <row r="22" spans="1:8" x14ac:dyDescent="0.2">
      <c r="A22" s="7" t="s">
        <v>23</v>
      </c>
      <c r="B22" s="36" t="s">
        <v>38</v>
      </c>
      <c r="C22" s="8"/>
      <c r="D22" s="28"/>
      <c r="E22" s="17"/>
      <c r="F22" s="28">
        <v>26.61</v>
      </c>
      <c r="G22" s="17"/>
      <c r="H22" s="28">
        <f>+F22</f>
        <v>26.61</v>
      </c>
    </row>
    <row r="23" spans="1:8" x14ac:dyDescent="0.2">
      <c r="C23" s="21"/>
      <c r="D23" s="37"/>
      <c r="E23" s="17"/>
      <c r="F23" s="37"/>
      <c r="G23" s="17"/>
      <c r="H23" s="37"/>
    </row>
    <row r="24" spans="1:8" x14ac:dyDescent="0.2">
      <c r="A24" s="8" t="s">
        <v>7</v>
      </c>
      <c r="C24" s="22"/>
      <c r="D24" s="38">
        <f>ROUND(AVERAGE(D17,D18,D19,D16),2)</f>
        <v>24.44</v>
      </c>
      <c r="E24" s="17"/>
      <c r="F24" s="38">
        <f>ROUND(AVERAGEA(F11:F22),2)</f>
        <v>24.64</v>
      </c>
      <c r="G24" s="17"/>
      <c r="H24" s="38">
        <f>ROUND(AVERAGEA(H11:H22),2)</f>
        <v>24.72</v>
      </c>
    </row>
    <row r="25" spans="1:8" x14ac:dyDescent="0.2">
      <c r="C25" s="23"/>
      <c r="D25" s="23"/>
      <c r="E25" s="23"/>
      <c r="F25" s="23"/>
      <c r="G25" s="23"/>
      <c r="H25" s="23"/>
    </row>
    <row r="26" spans="1:8" x14ac:dyDescent="0.2">
      <c r="A26" s="8"/>
      <c r="C26" s="6"/>
      <c r="D26" s="6"/>
      <c r="E26" s="6"/>
      <c r="F26" s="6"/>
      <c r="G26" s="6"/>
      <c r="H26" s="6"/>
    </row>
    <row r="27" spans="1:8" x14ac:dyDescent="0.2">
      <c r="A27" s="8"/>
    </row>
    <row r="28" spans="1:8" x14ac:dyDescent="0.2">
      <c r="A28" s="8" t="s">
        <v>31</v>
      </c>
      <c r="B28" s="13"/>
      <c r="C28" s="13"/>
      <c r="D28" s="13"/>
      <c r="E28" s="13"/>
      <c r="F28" s="13"/>
      <c r="G28" s="13"/>
      <c r="H28" s="13"/>
    </row>
    <row r="29" spans="1:8" ht="15" customHeight="1" x14ac:dyDescent="0.2">
      <c r="A29" s="8" t="s">
        <v>8</v>
      </c>
      <c r="B29" s="46">
        <f>'Att A pg 2'!D10</f>
        <v>7.5389999999999997</v>
      </c>
      <c r="C29" s="10"/>
      <c r="D29" s="32" t="s">
        <v>12</v>
      </c>
      <c r="E29" s="10"/>
      <c r="F29" s="8" t="s">
        <v>29</v>
      </c>
    </row>
    <row r="30" spans="1:8" x14ac:dyDescent="0.2">
      <c r="A30" s="8"/>
      <c r="F30" s="1" t="s">
        <v>28</v>
      </c>
    </row>
  </sheetData>
  <printOptions horizontalCentered="1"/>
  <pageMargins left="0.17" right="0.17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31B8-CE72-4E8F-81D6-EA8EE14B3D9E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30.337264837999999</v>
      </c>
      <c r="D3" s="199">
        <v>37.5814687552649</v>
      </c>
      <c r="E3" s="200">
        <v>1</v>
      </c>
      <c r="F3" s="201">
        <v>339.19371056913002</v>
      </c>
      <c r="G3" s="200">
        <v>11180.761099605201</v>
      </c>
      <c r="H3" s="200">
        <v>672</v>
      </c>
      <c r="I3" s="202">
        <v>1.8272425480952199</v>
      </c>
      <c r="J3" s="202">
        <v>619.78917999820999</v>
      </c>
      <c r="K3" s="202">
        <v>0</v>
      </c>
      <c r="L3" s="202">
        <v>230.76733908223</v>
      </c>
      <c r="M3" s="202">
        <v>139.01960600217001</v>
      </c>
      <c r="N3" s="202">
        <v>25.012432401286102</v>
      </c>
      <c r="O3" s="202">
        <f>IF(C3=0,0,IF(P3/C3&gt;9999,TEXT(P3/C3,"0.00E+00"),P3/C3))</f>
        <v>32.61916096810026</v>
      </c>
      <c r="P3" s="202">
        <f>SUM(J3:M3)</f>
        <v>989.57612508261002</v>
      </c>
    </row>
    <row r="4" spans="1:16" s="196" customFormat="1" x14ac:dyDescent="0.25">
      <c r="A4" s="196">
        <v>2</v>
      </c>
      <c r="B4" s="196" t="s">
        <v>188</v>
      </c>
      <c r="C4" s="198">
        <v>27.003999999960001</v>
      </c>
      <c r="D4" s="199">
        <v>33.8895414796241</v>
      </c>
      <c r="E4" s="200">
        <v>2</v>
      </c>
      <c r="F4" s="201">
        <v>352.83848233250001</v>
      </c>
      <c r="G4" s="200">
        <v>13066.156211414</v>
      </c>
      <c r="H4" s="200">
        <v>528</v>
      </c>
      <c r="I4" s="202">
        <v>1.98299496654961</v>
      </c>
      <c r="J4" s="202">
        <v>699.67693447035003</v>
      </c>
      <c r="K4" s="202">
        <v>0</v>
      </c>
      <c r="L4" s="202">
        <v>339.29075189577998</v>
      </c>
      <c r="M4" s="202">
        <v>98.183843599849993</v>
      </c>
      <c r="N4" s="202">
        <v>29.546021999385299</v>
      </c>
      <c r="O4" s="202">
        <f t="shared" ref="O4:O28" si="0">IF(C4=0,0,IF(P4/C4&gt;9999,TEXT(P4/C4,"0.00E+00"),P4/C4))</f>
        <v>42.110484741803596</v>
      </c>
      <c r="P4" s="202">
        <f t="shared" ref="P4:P27" si="1">SUM(J4:M4)</f>
        <v>1137.15152996598</v>
      </c>
    </row>
    <row r="5" spans="1:16" s="196" customFormat="1" x14ac:dyDescent="0.25">
      <c r="A5" s="196">
        <v>3</v>
      </c>
      <c r="B5" s="197" t="s">
        <v>189</v>
      </c>
      <c r="C5" s="198">
        <v>4.7578319269299998</v>
      </c>
      <c r="D5" s="199">
        <v>24.501668144285802</v>
      </c>
      <c r="E5" s="200">
        <v>1</v>
      </c>
      <c r="F5" s="201">
        <v>97.634280679629896</v>
      </c>
      <c r="G5" s="200">
        <v>20520.750244876501</v>
      </c>
      <c r="H5" s="200">
        <v>672</v>
      </c>
      <c r="I5" s="202">
        <v>3.06753034460555</v>
      </c>
      <c r="J5" s="202">
        <v>299.4961186585</v>
      </c>
      <c r="K5" s="202">
        <v>1</v>
      </c>
      <c r="L5" s="202">
        <v>196.38834307409999</v>
      </c>
      <c r="M5" s="202">
        <v>28.947648588109999</v>
      </c>
      <c r="N5" s="202">
        <v>69.032234070220497</v>
      </c>
      <c r="O5" s="202">
        <f t="shared" si="0"/>
        <v>110.51926978429526</v>
      </c>
      <c r="P5" s="202">
        <f t="shared" si="1"/>
        <v>525.83211032071006</v>
      </c>
    </row>
    <row r="6" spans="1:16" s="196" customFormat="1" x14ac:dyDescent="0.25">
      <c r="A6" s="196">
        <v>4</v>
      </c>
      <c r="B6" s="197" t="s">
        <v>190</v>
      </c>
      <c r="C6" s="198">
        <v>25.2</v>
      </c>
      <c r="D6" s="199">
        <v>45.221585770274402</v>
      </c>
      <c r="E6" s="200">
        <v>1</v>
      </c>
      <c r="F6" s="201">
        <v>325.11274099016998</v>
      </c>
      <c r="G6" s="200">
        <v>12901.2992456417</v>
      </c>
      <c r="H6" s="200">
        <v>504</v>
      </c>
      <c r="I6" s="202">
        <v>3.07198194011522</v>
      </c>
      <c r="J6" s="202">
        <v>998.74046882315997</v>
      </c>
      <c r="K6" s="202">
        <v>3</v>
      </c>
      <c r="L6" s="202">
        <v>357.26585474517998</v>
      </c>
      <c r="M6" s="202">
        <v>181.64008799999999</v>
      </c>
      <c r="N6" s="202">
        <v>46.840498286633299</v>
      </c>
      <c r="O6" s="202">
        <f t="shared" si="0"/>
        <v>61.13676236382301</v>
      </c>
      <c r="P6" s="202">
        <f t="shared" si="1"/>
        <v>1540.6464115683398</v>
      </c>
    </row>
    <row r="7" spans="1:16" s="196" customFormat="1" x14ac:dyDescent="0.25">
      <c r="A7" s="196">
        <v>5</v>
      </c>
      <c r="B7" s="197" t="s">
        <v>191</v>
      </c>
      <c r="C7" s="198">
        <v>13.872</v>
      </c>
      <c r="D7" s="199">
        <v>39.670555936856601</v>
      </c>
      <c r="E7" s="200">
        <v>1</v>
      </c>
      <c r="F7" s="201">
        <v>183.81787200017001</v>
      </c>
      <c r="G7" s="200">
        <v>13251.0000000123</v>
      </c>
      <c r="H7" s="200">
        <v>408</v>
      </c>
      <c r="I7" s="202">
        <v>2.0139689567121</v>
      </c>
      <c r="J7" s="202">
        <v>370.20348789721999</v>
      </c>
      <c r="K7" s="202">
        <v>3</v>
      </c>
      <c r="L7" s="202">
        <v>377.62797441084001</v>
      </c>
      <c r="M7" s="202">
        <v>125.85011328</v>
      </c>
      <c r="N7" s="202">
        <v>35.759342645416702</v>
      </c>
      <c r="O7" s="202">
        <f t="shared" si="0"/>
        <v>63.197922115632934</v>
      </c>
      <c r="P7" s="202">
        <f t="shared" si="1"/>
        <v>876.68157558806001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0.60522356519999998</v>
      </c>
      <c r="D10" s="199">
        <v>2.0085741577060898</v>
      </c>
      <c r="E10" s="200">
        <v>2</v>
      </c>
      <c r="F10" s="201">
        <v>5.23865522969</v>
      </c>
      <c r="G10" s="200">
        <v>8655.7357163692905</v>
      </c>
      <c r="H10" s="200">
        <v>17</v>
      </c>
      <c r="I10" s="202">
        <v>3.6057692310050702</v>
      </c>
      <c r="J10" s="202">
        <v>18.88938183906</v>
      </c>
      <c r="K10" s="202">
        <v>4.55</v>
      </c>
      <c r="L10" s="202">
        <v>26.830516561749999</v>
      </c>
      <c r="M10" s="202">
        <v>1.55845068037</v>
      </c>
      <c r="N10" s="202">
        <v>33.785585517763003</v>
      </c>
      <c r="O10" s="202">
        <f t="shared" si="0"/>
        <v>85.63504804055836</v>
      </c>
      <c r="P10" s="202">
        <f t="shared" si="1"/>
        <v>51.828349081180001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0.34136639697999999</v>
      </c>
      <c r="D12" s="199">
        <v>0.55346900167970203</v>
      </c>
      <c r="E12" s="200">
        <v>2</v>
      </c>
      <c r="F12" s="201">
        <v>4.7977997340699998</v>
      </c>
      <c r="G12" s="200">
        <v>14054.692484424901</v>
      </c>
      <c r="H12" s="200">
        <v>10</v>
      </c>
      <c r="I12" s="202">
        <v>3.5124423959989599</v>
      </c>
      <c r="J12" s="202">
        <v>16.851995193459999</v>
      </c>
      <c r="K12" s="202">
        <v>7.5</v>
      </c>
      <c r="L12" s="202">
        <v>225.62567305210999</v>
      </c>
      <c r="M12" s="202">
        <v>0.87901847221999996</v>
      </c>
      <c r="N12" s="202">
        <v>51.941297745040899</v>
      </c>
      <c r="O12" s="202">
        <f t="shared" si="0"/>
        <v>734.86051625780613</v>
      </c>
      <c r="P12" s="202">
        <f t="shared" si="1"/>
        <v>250.85668671778998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0.18265813708</v>
      </c>
      <c r="D14" s="199">
        <v>1.3199368213088201</v>
      </c>
      <c r="E14" s="200">
        <v>2</v>
      </c>
      <c r="F14" s="201">
        <v>2.5490804539299998</v>
      </c>
      <c r="G14" s="200">
        <v>13955.471651468601</v>
      </c>
      <c r="H14" s="200">
        <v>20</v>
      </c>
      <c r="I14" s="202">
        <v>3.5124423959848401</v>
      </c>
      <c r="J14" s="202">
        <v>8.9534982571599997</v>
      </c>
      <c r="K14" s="202">
        <v>7.5</v>
      </c>
      <c r="L14" s="202">
        <v>52.990345660240003</v>
      </c>
      <c r="M14" s="202">
        <v>0.34878881795</v>
      </c>
      <c r="N14" s="202">
        <v>50.927307284623303</v>
      </c>
      <c r="O14" s="202">
        <f t="shared" si="0"/>
        <v>382.09429840392193</v>
      </c>
      <c r="P14" s="202">
        <f t="shared" si="1"/>
        <v>69.792632735349997</v>
      </c>
    </row>
    <row r="15" spans="1:16" s="196" customFormat="1" x14ac:dyDescent="0.25">
      <c r="A15" s="196">
        <v>13</v>
      </c>
      <c r="B15" s="197" t="s">
        <v>199</v>
      </c>
      <c r="C15" s="198">
        <v>0.10509914084999999</v>
      </c>
      <c r="D15" s="199">
        <v>0.65399206522550801</v>
      </c>
      <c r="E15" s="200">
        <v>5</v>
      </c>
      <c r="F15" s="201">
        <v>1.8602956616499999</v>
      </c>
      <c r="G15" s="200">
        <v>17700.388857650702</v>
      </c>
      <c r="H15" s="200">
        <v>10</v>
      </c>
      <c r="I15" s="202">
        <v>3.3967391299915102</v>
      </c>
      <c r="J15" s="202">
        <v>6.3189390672799997</v>
      </c>
      <c r="K15" s="202">
        <v>0.6</v>
      </c>
      <c r="L15" s="202">
        <v>15.80235820271</v>
      </c>
      <c r="M15" s="202">
        <v>0.27063028770000003</v>
      </c>
      <c r="N15" s="202">
        <v>62.6986034488597</v>
      </c>
      <c r="O15" s="202">
        <f t="shared" si="0"/>
        <v>218.76418181671562</v>
      </c>
      <c r="P15" s="202">
        <f t="shared" si="1"/>
        <v>22.991927557690001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1.0657511336900001</v>
      </c>
      <c r="D17" s="196">
        <v>69.876156155914003</v>
      </c>
      <c r="E17" s="196">
        <v>0</v>
      </c>
      <c r="F17" s="196">
        <v>1.0657511339400001</v>
      </c>
      <c r="G17" s="196">
        <v>1000.0000002345801</v>
      </c>
      <c r="H17" s="196">
        <v>744</v>
      </c>
      <c r="I17" s="196">
        <v>33.249999999939</v>
      </c>
      <c r="J17" s="202">
        <v>35.436225203440003</v>
      </c>
      <c r="K17" s="202">
        <v>0</v>
      </c>
      <c r="L17" s="202">
        <v>0</v>
      </c>
      <c r="M17" s="202">
        <v>0</v>
      </c>
      <c r="N17" s="202">
        <v>33.250000007738699</v>
      </c>
      <c r="O17" s="202">
        <f t="shared" si="0"/>
        <v>33.250000007738677</v>
      </c>
      <c r="P17" s="202">
        <f t="shared" si="1"/>
        <v>35.436225203440003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s="196" customFormat="1" x14ac:dyDescent="0.25">
      <c r="A20" s="196">
        <v>18</v>
      </c>
      <c r="B20" s="197" t="s">
        <v>204</v>
      </c>
      <c r="C20" s="198">
        <v>-4.7687368458400003</v>
      </c>
      <c r="D20" s="196">
        <v>0.640959253473118</v>
      </c>
      <c r="J20" s="202">
        <v>-83.166770590789994</v>
      </c>
      <c r="K20" s="202"/>
      <c r="L20" s="202"/>
      <c r="M20" s="202"/>
      <c r="N20" s="202"/>
      <c r="O20" s="202">
        <f t="shared" si="0"/>
        <v>17.43999999986168</v>
      </c>
      <c r="P20" s="202">
        <f t="shared" si="1"/>
        <v>-83.166770590789994</v>
      </c>
    </row>
    <row r="21" spans="1:16" x14ac:dyDescent="0.25">
      <c r="A21" s="196">
        <v>19</v>
      </c>
      <c r="B21" s="197" t="s">
        <v>205</v>
      </c>
      <c r="C21" s="198">
        <v>90.748178407180006</v>
      </c>
      <c r="D21" s="196">
        <v>48.789343229666699</v>
      </c>
      <c r="E21" s="196">
        <v>2</v>
      </c>
      <c r="F21" s="196">
        <v>90.748178406980003</v>
      </c>
      <c r="G21" s="196">
        <v>999.99999999779595</v>
      </c>
      <c r="H21" s="196">
        <v>644</v>
      </c>
      <c r="I21" s="196">
        <v>17.439999999999699</v>
      </c>
      <c r="J21" s="203">
        <v>1582.6482314176999</v>
      </c>
      <c r="K21" s="203">
        <v>0</v>
      </c>
      <c r="L21" s="203">
        <v>0</v>
      </c>
      <c r="M21" s="203">
        <v>0</v>
      </c>
      <c r="N21" s="202">
        <v>17.439999999961199</v>
      </c>
      <c r="O21" s="202">
        <f t="shared" si="0"/>
        <v>17.439999999961216</v>
      </c>
      <c r="P21" s="202">
        <f t="shared" si="1"/>
        <v>1582.6482314176999</v>
      </c>
    </row>
    <row r="22" spans="1:16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3">
        <v>0</v>
      </c>
      <c r="K22" s="203">
        <v>0</v>
      </c>
      <c r="L22" s="203">
        <v>10.82876712319</v>
      </c>
      <c r="M22" s="203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10.191780821989999</v>
      </c>
      <c r="M23" s="202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s="196" customFormat="1" x14ac:dyDescent="0.25">
      <c r="A24" s="196">
        <v>22</v>
      </c>
      <c r="B24" s="197" t="s">
        <v>208</v>
      </c>
      <c r="C24" s="198">
        <v>5.2599963000000001</v>
      </c>
      <c r="D24" s="199">
        <v>36.015728476821202</v>
      </c>
      <c r="E24" s="200">
        <v>273</v>
      </c>
      <c r="F24" s="201">
        <v>0</v>
      </c>
      <c r="G24" s="200">
        <v>0</v>
      </c>
      <c r="H24" s="200">
        <v>667</v>
      </c>
      <c r="I24" s="202">
        <v>0</v>
      </c>
      <c r="J24" s="202">
        <v>0</v>
      </c>
      <c r="K24" s="202">
        <v>0</v>
      </c>
      <c r="L24" s="202">
        <v>35.967207330119997</v>
      </c>
      <c r="M24" s="202">
        <v>0</v>
      </c>
      <c r="N24" s="202">
        <v>0</v>
      </c>
      <c r="O24" s="202">
        <f t="shared" si="0"/>
        <v>6.8378769259058219</v>
      </c>
      <c r="P24" s="202">
        <f t="shared" si="1"/>
        <v>35.967207330119997</v>
      </c>
    </row>
    <row r="25" spans="1:16" s="196" customFormat="1" x14ac:dyDescent="0.25">
      <c r="A25" s="196">
        <v>23</v>
      </c>
      <c r="B25" s="197" t="s">
        <v>209</v>
      </c>
      <c r="C25" s="198">
        <v>6.8064999999999998</v>
      </c>
      <c r="D25" s="196">
        <v>30.293117567471398</v>
      </c>
      <c r="E25" s="196">
        <v>480</v>
      </c>
      <c r="F25" s="196">
        <v>0</v>
      </c>
      <c r="G25" s="196">
        <v>0</v>
      </c>
      <c r="H25" s="196">
        <v>654</v>
      </c>
      <c r="I25" s="196">
        <v>0</v>
      </c>
      <c r="J25" s="202">
        <v>0</v>
      </c>
      <c r="K25" s="202">
        <v>0</v>
      </c>
      <c r="L25" s="202">
        <v>52.166551660240003</v>
      </c>
      <c r="M25" s="202">
        <v>0</v>
      </c>
      <c r="N25" s="202">
        <v>0</v>
      </c>
      <c r="O25" s="202">
        <f t="shared" si="0"/>
        <v>7.6642256167251901</v>
      </c>
      <c r="P25" s="202">
        <f t="shared" si="1"/>
        <v>52.166551660240003</v>
      </c>
    </row>
    <row r="26" spans="1:16" s="196" customFormat="1" x14ac:dyDescent="0.25">
      <c r="A26" s="196">
        <v>24</v>
      </c>
      <c r="B26" s="197" t="s">
        <v>210</v>
      </c>
      <c r="C26" s="198">
        <v>0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202">
        <v>0</v>
      </c>
      <c r="K26" s="202">
        <v>0</v>
      </c>
      <c r="L26" s="202">
        <v>48.703520087649999</v>
      </c>
      <c r="M26" s="202">
        <v>0</v>
      </c>
      <c r="N26" s="202">
        <v>0</v>
      </c>
      <c r="O26" s="202">
        <f t="shared" si="0"/>
        <v>0</v>
      </c>
      <c r="P26" s="202">
        <f t="shared" si="1"/>
        <v>48.703520087649999</v>
      </c>
    </row>
    <row r="27" spans="1:16" s="196" customFormat="1" x14ac:dyDescent="0.25">
      <c r="A27" s="196">
        <v>25</v>
      </c>
      <c r="B27" s="197" t="s">
        <v>211</v>
      </c>
      <c r="C27" s="198">
        <v>47.148857999999997</v>
      </c>
      <c r="D27" s="196">
        <v>42.248080645161302</v>
      </c>
      <c r="E27" s="196">
        <v>900</v>
      </c>
      <c r="F27" s="196">
        <v>0</v>
      </c>
      <c r="G27" s="196">
        <v>0</v>
      </c>
      <c r="H27" s="196">
        <v>698</v>
      </c>
      <c r="I27" s="196">
        <v>0</v>
      </c>
      <c r="J27" s="202">
        <v>0</v>
      </c>
      <c r="K27" s="202">
        <v>0</v>
      </c>
      <c r="L27" s="202">
        <v>268.73687671235001</v>
      </c>
      <c r="M27" s="202">
        <v>0</v>
      </c>
      <c r="N27" s="202">
        <v>0</v>
      </c>
      <c r="O27" s="202">
        <f t="shared" si="0"/>
        <v>5.6997536761622101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248.66599100003003</v>
      </c>
      <c r="D28" s="196"/>
      <c r="E28" s="196"/>
      <c r="F28" s="196"/>
      <c r="G28" s="196"/>
      <c r="H28" s="196"/>
      <c r="I28" s="196"/>
      <c r="J28" s="203">
        <f t="shared" ref="J28:P28" si="2">SUM(J3:J27)</f>
        <v>4573.83769023475</v>
      </c>
      <c r="K28" s="203">
        <f t="shared" si="2"/>
        <v>27.150000000000002</v>
      </c>
      <c r="L28" s="203">
        <f t="shared" si="2"/>
        <v>2327.0408281382502</v>
      </c>
      <c r="M28" s="203">
        <f t="shared" si="2"/>
        <v>576.69818772836993</v>
      </c>
      <c r="N28" s="202">
        <f>(J28+M28)/C28</f>
        <v>20.712667048878821</v>
      </c>
      <c r="O28" s="202">
        <f t="shared" si="0"/>
        <v>30.179948114016369</v>
      </c>
      <c r="P28" s="202">
        <f t="shared" si="2"/>
        <v>7504.7267061013681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DAY("5/31/2020") * 24</f>
        <v>744</v>
      </c>
      <c r="D43" s="213">
        <f>IF($C$44=0,0,C43/$C$44)</f>
        <v>1</v>
      </c>
      <c r="E43" s="236">
        <v>17.916303486909701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17.916303486909701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30.261421675899999</v>
      </c>
      <c r="D52" s="202">
        <v>1.7849191316666699</v>
      </c>
      <c r="E52" s="202">
        <v>603.91975997161001</v>
      </c>
      <c r="F52" s="201">
        <v>338.34572629263999</v>
      </c>
      <c r="G52" s="202">
        <v>2.6352938789200002</v>
      </c>
      <c r="H52" s="202">
        <v>20468.585982615848</v>
      </c>
      <c r="I52" s="202">
        <f>IF(F52=0,0,J52/F52)</f>
        <v>1.7927078922992277</v>
      </c>
      <c r="J52" s="202">
        <f>$E52+$G52</f>
        <v>606.55505385053004</v>
      </c>
    </row>
    <row r="53" spans="1:16" s="196" customFormat="1" x14ac:dyDescent="0.25">
      <c r="A53" s="196">
        <v>2</v>
      </c>
      <c r="B53" s="197" t="s">
        <v>230</v>
      </c>
      <c r="C53" s="198">
        <v>26.936489999959999</v>
      </c>
      <c r="D53" s="202">
        <v>1.9367654516666699</v>
      </c>
      <c r="E53" s="202">
        <v>681.65696912144006</v>
      </c>
      <c r="F53" s="201">
        <v>351.95638612659002</v>
      </c>
      <c r="G53" s="202">
        <v>1.6665091252899999</v>
      </c>
      <c r="H53" s="202">
        <v>25504.085951202174</v>
      </c>
      <c r="I53" s="202">
        <f t="shared" ref="I53:I69" si="3">IF(F53=0,0,J53/F53)</f>
        <v>1.9415004392077018</v>
      </c>
      <c r="J53" s="202">
        <f t="shared" ref="J53:J69" si="4">$E53+$G53</f>
        <v>683.32347824673002</v>
      </c>
    </row>
    <row r="54" spans="1:16" s="196" customFormat="1" x14ac:dyDescent="0.25">
      <c r="A54" s="196">
        <v>3</v>
      </c>
      <c r="B54" s="197" t="s">
        <v>231</v>
      </c>
      <c r="C54" s="198">
        <v>4.7578319269299998</v>
      </c>
      <c r="D54" s="202">
        <v>3.06753034458333</v>
      </c>
      <c r="E54" s="202">
        <v>299.4961186585</v>
      </c>
      <c r="F54" s="201">
        <v>97.634280679629896</v>
      </c>
      <c r="G54" s="202">
        <v>12.494638462299999</v>
      </c>
      <c r="H54" s="202">
        <v>6954.0085954152355</v>
      </c>
      <c r="I54" s="202">
        <f t="shared" si="3"/>
        <v>3.1955042322126999</v>
      </c>
      <c r="J54" s="202">
        <f t="shared" si="4"/>
        <v>311.99075712079997</v>
      </c>
    </row>
    <row r="55" spans="1:16" s="196" customFormat="1" x14ac:dyDescent="0.25">
      <c r="A55" s="196">
        <v>4</v>
      </c>
      <c r="B55" s="197" t="s">
        <v>232</v>
      </c>
      <c r="C55" s="198">
        <v>25.177320000000002</v>
      </c>
      <c r="D55" s="202">
        <v>3.07179737458334</v>
      </c>
      <c r="E55" s="202">
        <v>997.78165180659005</v>
      </c>
      <c r="F55" s="201">
        <v>324.82013952317999</v>
      </c>
      <c r="G55" s="202">
        <v>41.568496027590001</v>
      </c>
      <c r="H55" s="202">
        <v>23135.337572876069</v>
      </c>
      <c r="I55" s="202">
        <f t="shared" si="3"/>
        <v>3.1997712622126664</v>
      </c>
      <c r="J55" s="202">
        <f t="shared" si="4"/>
        <v>1039.35014783418</v>
      </c>
    </row>
    <row r="56" spans="1:16" s="196" customFormat="1" x14ac:dyDescent="0.25">
      <c r="A56" s="196">
        <v>5</v>
      </c>
      <c r="B56" s="197" t="s">
        <v>233</v>
      </c>
      <c r="C56" s="198">
        <v>13.8345456</v>
      </c>
      <c r="D56" s="202">
        <v>2.01333391208333</v>
      </c>
      <c r="E56" s="202">
        <v>369.08752113601997</v>
      </c>
      <c r="F56" s="201">
        <v>183.32156374576999</v>
      </c>
      <c r="G56" s="202">
        <v>8.6731012498200002</v>
      </c>
      <c r="H56" s="202">
        <v>13814.737283027129</v>
      </c>
      <c r="I56" s="202">
        <f t="shared" si="3"/>
        <v>2.0606447744997292</v>
      </c>
      <c r="J56" s="202">
        <f t="shared" si="4"/>
        <v>377.76062238583995</v>
      </c>
    </row>
    <row r="57" spans="1:16" s="196" customFormat="1" x14ac:dyDescent="0.25">
      <c r="A57" s="196">
        <v>6</v>
      </c>
      <c r="B57" s="197" t="s">
        <v>234</v>
      </c>
      <c r="C57" s="198">
        <v>2.2679999999999999E-2</v>
      </c>
      <c r="D57" s="202">
        <v>3.2768701629166701</v>
      </c>
      <c r="E57" s="202">
        <v>0.95881701656999996</v>
      </c>
      <c r="F57" s="201">
        <v>0.29260146699</v>
      </c>
      <c r="G57" s="202">
        <v>0</v>
      </c>
      <c r="H57" s="202">
        <v>262.65840842908437</v>
      </c>
      <c r="I57" s="202">
        <f t="shared" si="3"/>
        <v>3.2768701621129215</v>
      </c>
      <c r="J57" s="202">
        <f t="shared" si="4"/>
        <v>0.95881701656999996</v>
      </c>
    </row>
    <row r="58" spans="1:16" s="196" customFormat="1" x14ac:dyDescent="0.25">
      <c r="A58" s="196">
        <v>7</v>
      </c>
      <c r="B58" s="197" t="s">
        <v>235</v>
      </c>
      <c r="C58" s="198">
        <v>3.7454399999999999E-2</v>
      </c>
      <c r="D58" s="202">
        <v>2.2485355650000001</v>
      </c>
      <c r="E58" s="202">
        <v>1.1159667611999999</v>
      </c>
      <c r="F58" s="201">
        <v>0.49630825439999998</v>
      </c>
      <c r="G58" s="202">
        <v>0</v>
      </c>
      <c r="H58" s="202">
        <v>410.51137667493794</v>
      </c>
      <c r="I58" s="202">
        <f t="shared" si="3"/>
        <v>2.2485355649567449</v>
      </c>
      <c r="J58" s="202">
        <f t="shared" si="4"/>
        <v>1.1159667611999999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0.60522356519999998</v>
      </c>
      <c r="D61" s="202">
        <v>3.6057692308333298</v>
      </c>
      <c r="E61" s="202">
        <v>18.88938183906</v>
      </c>
      <c r="F61" s="201">
        <v>5.23865522969</v>
      </c>
      <c r="G61" s="202">
        <v>0</v>
      </c>
      <c r="H61" s="202">
        <v>4728.0281856407937</v>
      </c>
      <c r="I61" s="202">
        <f t="shared" si="3"/>
        <v>3.6057692310050702</v>
      </c>
      <c r="J61" s="202">
        <f t="shared" si="4"/>
        <v>18.88938183906</v>
      </c>
    </row>
    <row r="62" spans="1:16" s="196" customFormat="1" x14ac:dyDescent="0.25">
      <c r="A62" s="196">
        <v>11</v>
      </c>
      <c r="B62" s="197" t="s">
        <v>238</v>
      </c>
      <c r="C62" s="198">
        <v>0.34136639697999999</v>
      </c>
      <c r="D62" s="202">
        <v>3.5124423958333399</v>
      </c>
      <c r="E62" s="202">
        <v>16.851995193459999</v>
      </c>
      <c r="F62" s="201">
        <v>4.7977997340699998</v>
      </c>
      <c r="G62" s="202">
        <v>0</v>
      </c>
      <c r="H62" s="202">
        <v>4306.8220234021537</v>
      </c>
      <c r="I62" s="202">
        <f t="shared" si="3"/>
        <v>3.512442395998959</v>
      </c>
      <c r="J62" s="202">
        <f t="shared" si="4"/>
        <v>16.851995193459999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0.10162116854</v>
      </c>
      <c r="D64" s="202">
        <v>3.5124423958333399</v>
      </c>
      <c r="E64" s="202">
        <v>4.7858572673399999</v>
      </c>
      <c r="F64" s="201">
        <v>1.36254398728</v>
      </c>
      <c r="G64" s="202">
        <v>0</v>
      </c>
      <c r="H64" s="202">
        <v>1223.1095038420108</v>
      </c>
      <c r="I64" s="202">
        <f t="shared" si="3"/>
        <v>3.5124423960020867</v>
      </c>
      <c r="J64" s="202">
        <f t="shared" si="4"/>
        <v>4.7858572673399999</v>
      </c>
    </row>
    <row r="65" spans="1:21" s="196" customFormat="1" x14ac:dyDescent="0.25">
      <c r="A65" s="196">
        <v>14</v>
      </c>
      <c r="B65" s="197" t="s">
        <v>239</v>
      </c>
      <c r="C65" s="198">
        <v>8.1036968540000004E-2</v>
      </c>
      <c r="D65" s="202">
        <v>3.5124423958333399</v>
      </c>
      <c r="E65" s="202">
        <v>4.1676409898299998</v>
      </c>
      <c r="F65" s="201">
        <v>1.18653646665</v>
      </c>
      <c r="G65" s="202">
        <v>0</v>
      </c>
      <c r="H65" s="202" t="e">
        <v>#N/A</v>
      </c>
      <c r="I65" s="202">
        <f t="shared" si="3"/>
        <v>3.5124423959734519</v>
      </c>
      <c r="J65" s="202">
        <f t="shared" si="4"/>
        <v>4.1676409898299998</v>
      </c>
    </row>
    <row r="66" spans="1:21" s="196" customFormat="1" x14ac:dyDescent="0.25">
      <c r="A66" s="196">
        <v>15</v>
      </c>
      <c r="B66" s="197" t="s">
        <v>240</v>
      </c>
      <c r="C66" s="198">
        <v>0.10509914084999999</v>
      </c>
      <c r="D66" s="202">
        <v>3.3967391299999998</v>
      </c>
      <c r="E66" s="202">
        <v>6.3189390672799997</v>
      </c>
      <c r="F66" s="201">
        <v>1.8602956616499999</v>
      </c>
      <c r="G66" s="202">
        <v>0</v>
      </c>
      <c r="H66" s="202">
        <v>1716.1399092712174</v>
      </c>
      <c r="I66" s="202">
        <f t="shared" si="3"/>
        <v>3.3967391299915093</v>
      </c>
      <c r="J66" s="202">
        <f t="shared" si="4"/>
        <v>6.3189390672799997</v>
      </c>
    </row>
    <row r="67" spans="1:21" s="196" customFormat="1" x14ac:dyDescent="0.25">
      <c r="A67" s="196">
        <v>16</v>
      </c>
      <c r="B67" s="197" t="s">
        <v>241</v>
      </c>
      <c r="C67" s="198">
        <v>7.5843162079999998E-2</v>
      </c>
      <c r="D67" s="202">
        <v>18.714285709999999</v>
      </c>
      <c r="E67" s="202">
        <v>15.8694200266</v>
      </c>
      <c r="F67" s="201">
        <v>0.84798427648999897</v>
      </c>
      <c r="G67" s="202">
        <v>0</v>
      </c>
      <c r="H67" s="202">
        <v>6057.0305463571349</v>
      </c>
      <c r="I67" s="202">
        <f t="shared" si="3"/>
        <v>18.714285708559554</v>
      </c>
      <c r="J67" s="202">
        <f t="shared" si="4"/>
        <v>15.8694200266</v>
      </c>
    </row>
    <row r="68" spans="1:21" s="196" customFormat="1" x14ac:dyDescent="0.25">
      <c r="A68" s="196">
        <v>17</v>
      </c>
      <c r="B68" s="197" t="s">
        <v>242</v>
      </c>
      <c r="C68" s="198">
        <v>6.7510000000000001E-2</v>
      </c>
      <c r="D68" s="202">
        <v>20.428571430000002</v>
      </c>
      <c r="E68" s="202">
        <v>18.01996534892</v>
      </c>
      <c r="F68" s="201">
        <v>0.88209620592000004</v>
      </c>
      <c r="G68" s="202">
        <v>0</v>
      </c>
      <c r="H68" s="202">
        <v>6300.6871851428568</v>
      </c>
      <c r="I68" s="202">
        <f t="shared" si="3"/>
        <v>20.428571427904185</v>
      </c>
      <c r="J68" s="202">
        <f t="shared" si="4"/>
        <v>18.01996534892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5/1/2020&amp;CMontana-Dakota Utility Co.
Plexos V6.400
Plexos by Month - 2020 Operating Plan - Base Model - V-1 - Run 1&amp;RPage 9
8/21/2019
11:08:38 AM</oddHeader>
    <oddFooter>&amp;RPage 9
8/21/2019
11:08:38 AM&amp;C
Plexos V6.400
Plexos by Month - 2020 Operating Plan - Base Model - V-1 - Run 1&amp;L
Month Beginning: 5/1/2020</oddFooter>
    <evenHeader>&amp;L
Month Beginning: 5/1/2020&amp;CMontana-Dakota Utility Co.
Plexos V6.400
Plexos by Month - 2020 Operating Plan - Base Model - V-1 - Run 1&amp;RPage 10
8/21/2019
11:08:38 AM</evenHeader>
    <evenFooter>&amp;RPage 10
8/21/2019
11:08:38 AM&amp;C
Plexos V6.400
Plexos by Month - 2020 Operating Plan - Base Model - V-1 - Run 1&amp;L
Month Beginning: 5/1/2020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E3CB-243F-42F9-A2C2-CC467570BAAD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28.587451604230001</v>
      </c>
      <c r="D3" s="199">
        <v>36.594280087340003</v>
      </c>
      <c r="E3" s="200">
        <v>1</v>
      </c>
      <c r="F3" s="201">
        <v>320.66346292462998</v>
      </c>
      <c r="G3" s="200">
        <v>11216.9306786752</v>
      </c>
      <c r="H3" s="200">
        <v>648</v>
      </c>
      <c r="I3" s="202">
        <v>1.82724254809513</v>
      </c>
      <c r="J3" s="202">
        <v>585.92992307540999</v>
      </c>
      <c r="K3" s="202">
        <v>0</v>
      </c>
      <c r="L3" s="202">
        <v>223.32323136989999</v>
      </c>
      <c r="M3" s="202">
        <v>131.00113935280999</v>
      </c>
      <c r="N3" s="202">
        <v>25.078522995107701</v>
      </c>
      <c r="O3" s="202">
        <f>IF(C3=0,0,IF(P3/C3&gt;9999,TEXT(P3/C3,"0.00E+00"),P3/C3))</f>
        <v>32.89045511349439</v>
      </c>
      <c r="P3" s="202">
        <f>SUM(J3:M3)</f>
        <v>940.25429379811999</v>
      </c>
    </row>
    <row r="4" spans="1:16" s="196" customFormat="1" x14ac:dyDescent="0.25">
      <c r="A4" s="196">
        <v>2</v>
      </c>
      <c r="B4" s="196" t="s">
        <v>188</v>
      </c>
      <c r="C4" s="198">
        <v>31.230774464900001</v>
      </c>
      <c r="D4" s="199">
        <v>40.500537484308502</v>
      </c>
      <c r="E4" s="200">
        <v>1</v>
      </c>
      <c r="F4" s="201">
        <v>410.51575828129</v>
      </c>
      <c r="G4" s="200">
        <v>13144.5910424881</v>
      </c>
      <c r="H4" s="200">
        <v>624</v>
      </c>
      <c r="I4" s="202">
        <v>1.98299496654967</v>
      </c>
      <c r="J4" s="202">
        <v>814.05068236112004</v>
      </c>
      <c r="K4" s="202">
        <v>0</v>
      </c>
      <c r="L4" s="202">
        <v>328.3458889314</v>
      </c>
      <c r="M4" s="202">
        <v>113.55197287692999</v>
      </c>
      <c r="N4" s="202">
        <v>29.701557874607499</v>
      </c>
      <c r="O4" s="202">
        <f t="shared" ref="O4:O28" si="0">IF(C4=0,0,IF(P4/C4&gt;9999,TEXT(P4/C4,"0.00E+00"),P4/C4))</f>
        <v>40.215094428125688</v>
      </c>
      <c r="P4" s="202">
        <f t="shared" ref="P4:P27" si="1">SUM(J4:M4)</f>
        <v>1255.9485441694501</v>
      </c>
    </row>
    <row r="5" spans="1:16" s="196" customFormat="1" x14ac:dyDescent="0.25">
      <c r="A5" s="196">
        <v>3</v>
      </c>
      <c r="B5" s="197" t="s">
        <v>189</v>
      </c>
      <c r="C5" s="198">
        <v>4.5640012262100003</v>
      </c>
      <c r="D5" s="199">
        <v>24.28693713394</v>
      </c>
      <c r="E5" s="200">
        <v>1</v>
      </c>
      <c r="F5" s="201">
        <v>93.904329717729993</v>
      </c>
      <c r="G5" s="200">
        <v>20575.000983448299</v>
      </c>
      <c r="H5" s="200">
        <v>648</v>
      </c>
      <c r="I5" s="202">
        <v>3.0675303446053199</v>
      </c>
      <c r="J5" s="202">
        <v>288.05438089896001</v>
      </c>
      <c r="K5" s="202">
        <v>1</v>
      </c>
      <c r="L5" s="202">
        <v>190.05323523300001</v>
      </c>
      <c r="M5" s="202">
        <v>27.768341900540001</v>
      </c>
      <c r="N5" s="202">
        <v>69.198649857016505</v>
      </c>
      <c r="O5" s="202">
        <f t="shared" si="0"/>
        <v>111.05955781116556</v>
      </c>
      <c r="P5" s="202">
        <f t="shared" si="1"/>
        <v>506.87595803250002</v>
      </c>
    </row>
    <row r="6" spans="1:16" s="196" customFormat="1" x14ac:dyDescent="0.25">
      <c r="A6" s="196">
        <v>4</v>
      </c>
      <c r="B6" s="197" t="s">
        <v>190</v>
      </c>
      <c r="C6" s="198">
        <v>36</v>
      </c>
      <c r="D6" s="199">
        <v>66.755674232309801</v>
      </c>
      <c r="E6" s="200">
        <v>0</v>
      </c>
      <c r="F6" s="201">
        <v>464.44677284310001</v>
      </c>
      <c r="G6" s="200">
        <v>12901.2992456417</v>
      </c>
      <c r="H6" s="200">
        <v>720</v>
      </c>
      <c r="I6" s="202">
        <v>3.07198194011522</v>
      </c>
      <c r="J6" s="202">
        <v>1426.7720983188001</v>
      </c>
      <c r="K6" s="202">
        <v>0</v>
      </c>
      <c r="L6" s="202">
        <v>345.74114975340001</v>
      </c>
      <c r="M6" s="202">
        <v>259.48584</v>
      </c>
      <c r="N6" s="202">
        <v>46.840498286633299</v>
      </c>
      <c r="O6" s="202">
        <f t="shared" si="0"/>
        <v>56.444419113116666</v>
      </c>
      <c r="P6" s="202">
        <f t="shared" si="1"/>
        <v>2031.9990880722</v>
      </c>
    </row>
    <row r="7" spans="1:16" s="196" customFormat="1" x14ac:dyDescent="0.25">
      <c r="A7" s="196">
        <v>5</v>
      </c>
      <c r="B7" s="197" t="s">
        <v>191</v>
      </c>
      <c r="C7" s="198">
        <v>24.48</v>
      </c>
      <c r="D7" s="199">
        <v>72.340425531914903</v>
      </c>
      <c r="E7" s="200">
        <v>0</v>
      </c>
      <c r="F7" s="201">
        <v>324.38448000030002</v>
      </c>
      <c r="G7" s="200">
        <v>13251.0000000123</v>
      </c>
      <c r="H7" s="200">
        <v>720</v>
      </c>
      <c r="I7" s="202">
        <v>2.0139689567121</v>
      </c>
      <c r="J7" s="202">
        <v>653.30027275980001</v>
      </c>
      <c r="K7" s="202">
        <v>0</v>
      </c>
      <c r="L7" s="202">
        <v>365.44642684920001</v>
      </c>
      <c r="M7" s="202">
        <v>222.08843519999999</v>
      </c>
      <c r="N7" s="202">
        <v>35.759342645416702</v>
      </c>
      <c r="O7" s="202">
        <f t="shared" si="0"/>
        <v>50.687709755269609</v>
      </c>
      <c r="P7" s="202">
        <f t="shared" si="1"/>
        <v>1240.835134809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12.624647917800001</v>
      </c>
      <c r="M9" s="202">
        <v>0</v>
      </c>
      <c r="N9" s="202">
        <v>0</v>
      </c>
      <c r="O9" s="202">
        <f t="shared" si="0"/>
        <v>0</v>
      </c>
      <c r="P9" s="202">
        <f t="shared" si="1"/>
        <v>12.624647917800001</v>
      </c>
    </row>
    <row r="10" spans="1:16" s="196" customFormat="1" x14ac:dyDescent="0.25">
      <c r="A10" s="196">
        <v>8</v>
      </c>
      <c r="B10" s="197" t="s">
        <v>194</v>
      </c>
      <c r="C10" s="198">
        <v>8.7619472970000001E-2</v>
      </c>
      <c r="D10" s="199">
        <v>0.300478302366255</v>
      </c>
      <c r="E10" s="200">
        <v>1</v>
      </c>
      <c r="F10" s="201">
        <v>1.26733290308</v>
      </c>
      <c r="G10" s="200">
        <v>14464.0553078186</v>
      </c>
      <c r="H10" s="200">
        <v>8</v>
      </c>
      <c r="I10" s="202">
        <v>3.6057692309844001</v>
      </c>
      <c r="J10" s="202">
        <v>4.5697099873399996</v>
      </c>
      <c r="K10" s="202">
        <v>2.2749999999999999</v>
      </c>
      <c r="L10" s="202">
        <v>25.965016027499999</v>
      </c>
      <c r="M10" s="202">
        <v>0.22562014290999999</v>
      </c>
      <c r="N10" s="202">
        <v>54.729045584328901</v>
      </c>
      <c r="O10" s="202">
        <f t="shared" si="0"/>
        <v>377.03201169745631</v>
      </c>
      <c r="P10" s="202">
        <f t="shared" si="1"/>
        <v>33.035346157749998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1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2.6591608767000001</v>
      </c>
      <c r="M11" s="202">
        <v>0</v>
      </c>
      <c r="N11" s="202">
        <v>0</v>
      </c>
      <c r="O11" s="202">
        <f t="shared" si="0"/>
        <v>0</v>
      </c>
      <c r="P11" s="202">
        <f t="shared" si="1"/>
        <v>2.6591608767000001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218.34742553429999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218.34742553429999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4.0844800000000001E-2</v>
      </c>
      <c r="D14" s="199">
        <v>0.30499402628434902</v>
      </c>
      <c r="E14" s="200">
        <v>1</v>
      </c>
      <c r="F14" s="201">
        <v>0.59605843272000003</v>
      </c>
      <c r="G14" s="200">
        <v>14593.2513494986</v>
      </c>
      <c r="H14" s="200">
        <v>5</v>
      </c>
      <c r="I14" s="202">
        <v>3.5124423959848299</v>
      </c>
      <c r="J14" s="202">
        <v>2.0936209095699998</v>
      </c>
      <c r="K14" s="202">
        <v>3.75</v>
      </c>
      <c r="L14" s="202">
        <v>51.280979671200001</v>
      </c>
      <c r="M14" s="202">
        <v>7.7993839960000005E-2</v>
      </c>
      <c r="N14" s="202">
        <v>53.167471735202497</v>
      </c>
      <c r="O14" s="202">
        <f t="shared" si="0"/>
        <v>1400.4865838669793</v>
      </c>
      <c r="P14" s="202">
        <f t="shared" si="1"/>
        <v>57.202594420730001</v>
      </c>
    </row>
    <row r="15" spans="1:16" s="196" customFormat="1" x14ac:dyDescent="0.25">
      <c r="A15" s="196">
        <v>13</v>
      </c>
      <c r="B15" s="197" t="s">
        <v>199</v>
      </c>
      <c r="C15" s="198">
        <v>2.1741873759999999E-2</v>
      </c>
      <c r="D15" s="199">
        <v>0.139801143004115</v>
      </c>
      <c r="E15" s="200">
        <v>2</v>
      </c>
      <c r="F15" s="201">
        <v>0.37898282745</v>
      </c>
      <c r="G15" s="200">
        <v>17431.010391902899</v>
      </c>
      <c r="H15" s="200">
        <v>2</v>
      </c>
      <c r="I15" s="202">
        <v>3.3967391300067198</v>
      </c>
      <c r="J15" s="202">
        <v>1.2873057995999999</v>
      </c>
      <c r="K15" s="202">
        <v>0.24</v>
      </c>
      <c r="L15" s="202">
        <v>15.292604712299999</v>
      </c>
      <c r="M15" s="202">
        <v>5.5985324920000003E-2</v>
      </c>
      <c r="N15" s="202">
        <v>61.783595073178297</v>
      </c>
      <c r="O15" s="202">
        <f t="shared" si="0"/>
        <v>776.19325836891437</v>
      </c>
      <c r="P15" s="202">
        <f t="shared" si="1"/>
        <v>16.87589583682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1.1544410000800001</v>
      </c>
      <c r="D17" s="196">
        <v>78.214159897018902</v>
      </c>
      <c r="E17" s="196">
        <v>0</v>
      </c>
      <c r="F17" s="196">
        <v>1.1544409995</v>
      </c>
      <c r="G17" s="196">
        <v>999.99999949759194</v>
      </c>
      <c r="H17" s="196">
        <v>720</v>
      </c>
      <c r="I17" s="196">
        <v>33.250000000056303</v>
      </c>
      <c r="J17" s="202">
        <v>38.385163233439997</v>
      </c>
      <c r="K17" s="202">
        <v>0</v>
      </c>
      <c r="L17" s="202">
        <v>0</v>
      </c>
      <c r="M17" s="202">
        <v>0</v>
      </c>
      <c r="N17" s="202">
        <v>33.249999983351302</v>
      </c>
      <c r="O17" s="202">
        <f t="shared" si="0"/>
        <v>33.249999983351245</v>
      </c>
      <c r="P17" s="202">
        <f t="shared" si="1"/>
        <v>38.385163233439997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16.458904109700001</v>
      </c>
      <c r="M18" s="202">
        <v>0</v>
      </c>
      <c r="N18" s="202">
        <v>0</v>
      </c>
      <c r="O18" s="202">
        <f t="shared" si="0"/>
        <v>0</v>
      </c>
      <c r="P18" s="202">
        <f t="shared" si="1"/>
        <v>16.458904109700001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43.602739725900001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43.602739725900001</v>
      </c>
    </row>
    <row r="20" spans="1:16" s="196" customFormat="1" x14ac:dyDescent="0.25">
      <c r="A20" s="196">
        <v>18</v>
      </c>
      <c r="B20" s="197" t="s">
        <v>204</v>
      </c>
      <c r="C20" s="198">
        <v>-5.0708402130000003</v>
      </c>
      <c r="D20" s="196">
        <v>0.70428336291666704</v>
      </c>
      <c r="J20" s="202">
        <v>-85.494365991099997</v>
      </c>
      <c r="K20" s="202"/>
      <c r="L20" s="202"/>
      <c r="M20" s="202"/>
      <c r="N20" s="202"/>
      <c r="O20" s="202">
        <f t="shared" si="0"/>
        <v>16.859999999984222</v>
      </c>
      <c r="P20" s="202">
        <f t="shared" si="1"/>
        <v>-85.494365991099997</v>
      </c>
    </row>
    <row r="21" spans="1:16" s="196" customFormat="1" x14ac:dyDescent="0.25">
      <c r="A21" s="196">
        <v>19</v>
      </c>
      <c r="B21" s="197" t="s">
        <v>205</v>
      </c>
      <c r="C21" s="198">
        <v>75.979574170909999</v>
      </c>
      <c r="D21" s="196">
        <v>42.210874539394403</v>
      </c>
      <c r="E21" s="196">
        <v>1</v>
      </c>
      <c r="F21" s="196">
        <v>75.979574171500005</v>
      </c>
      <c r="G21" s="196">
        <v>1000.00000000777</v>
      </c>
      <c r="H21" s="196">
        <v>618</v>
      </c>
      <c r="I21" s="196">
        <v>16.8599999999999</v>
      </c>
      <c r="J21" s="202">
        <v>1281.01562053148</v>
      </c>
      <c r="K21" s="202">
        <v>0</v>
      </c>
      <c r="L21" s="202">
        <v>0</v>
      </c>
      <c r="M21" s="202">
        <v>0</v>
      </c>
      <c r="N21" s="202">
        <v>16.8600000001308</v>
      </c>
      <c r="O21" s="202">
        <f t="shared" si="0"/>
        <v>16.860000000130789</v>
      </c>
      <c r="P21" s="202">
        <f t="shared" si="1"/>
        <v>1281.01562053148</v>
      </c>
    </row>
    <row r="22" spans="1:16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3">
        <v>0</v>
      </c>
      <c r="K22" s="203">
        <v>0</v>
      </c>
      <c r="L22" s="203">
        <v>10.479452054699999</v>
      </c>
      <c r="M22" s="203">
        <v>0</v>
      </c>
      <c r="N22" s="202">
        <v>0</v>
      </c>
      <c r="O22" s="202">
        <f t="shared" si="0"/>
        <v>0</v>
      </c>
      <c r="P22" s="202">
        <f t="shared" si="1"/>
        <v>10.479452054699999</v>
      </c>
    </row>
    <row r="23" spans="1:16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3">
        <v>0</v>
      </c>
      <c r="K23" s="203">
        <v>0</v>
      </c>
      <c r="L23" s="203">
        <v>9.8630136986999908</v>
      </c>
      <c r="M23" s="203">
        <v>0</v>
      </c>
      <c r="N23" s="202">
        <v>0</v>
      </c>
      <c r="O23" s="202">
        <f t="shared" si="0"/>
        <v>0</v>
      </c>
      <c r="P23" s="202">
        <f t="shared" si="1"/>
        <v>9.8630136986999908</v>
      </c>
    </row>
    <row r="24" spans="1:16" s="196" customFormat="1" x14ac:dyDescent="0.25">
      <c r="A24" s="196">
        <v>22</v>
      </c>
      <c r="B24" s="197" t="s">
        <v>208</v>
      </c>
      <c r="C24" s="198">
        <v>5.3577446000000002</v>
      </c>
      <c r="D24" s="196">
        <v>37.907855040470899</v>
      </c>
      <c r="E24" s="196">
        <v>195</v>
      </c>
      <c r="F24" s="196">
        <v>0</v>
      </c>
      <c r="G24" s="196">
        <v>0</v>
      </c>
      <c r="H24" s="196">
        <v>674</v>
      </c>
      <c r="I24" s="196">
        <v>0</v>
      </c>
      <c r="J24" s="202">
        <v>0</v>
      </c>
      <c r="K24" s="202">
        <v>0</v>
      </c>
      <c r="L24" s="202">
        <v>34.806974835600002</v>
      </c>
      <c r="M24" s="202">
        <v>0</v>
      </c>
      <c r="N24" s="202">
        <v>0</v>
      </c>
      <c r="O24" s="202">
        <f t="shared" si="0"/>
        <v>6.4965722396696552</v>
      </c>
      <c r="P24" s="202">
        <f t="shared" si="1"/>
        <v>34.806974835600002</v>
      </c>
    </row>
    <row r="25" spans="1:16" s="196" customFormat="1" x14ac:dyDescent="0.25">
      <c r="A25" s="196">
        <v>23</v>
      </c>
      <c r="B25" s="197" t="s">
        <v>209</v>
      </c>
      <c r="C25" s="198">
        <v>7.1708999999999996</v>
      </c>
      <c r="D25" s="199">
        <v>32.978752759381898</v>
      </c>
      <c r="E25" s="200">
        <v>400</v>
      </c>
      <c r="F25" s="201">
        <v>0</v>
      </c>
      <c r="G25" s="200">
        <v>0</v>
      </c>
      <c r="H25" s="200">
        <v>670</v>
      </c>
      <c r="I25" s="202">
        <v>0</v>
      </c>
      <c r="J25" s="202">
        <v>0</v>
      </c>
      <c r="K25" s="202">
        <v>0</v>
      </c>
      <c r="L25" s="202">
        <v>50.483759671199998</v>
      </c>
      <c r="M25" s="202">
        <v>0</v>
      </c>
      <c r="N25" s="202">
        <v>0</v>
      </c>
      <c r="O25" s="202">
        <f t="shared" si="0"/>
        <v>7.0400869725139108</v>
      </c>
      <c r="P25" s="202">
        <f t="shared" si="1"/>
        <v>50.483759671199998</v>
      </c>
    </row>
    <row r="26" spans="1:16" s="196" customFormat="1" x14ac:dyDescent="0.25">
      <c r="A26" s="196">
        <v>24</v>
      </c>
      <c r="B26" s="197" t="s">
        <v>210</v>
      </c>
      <c r="C26" s="198">
        <v>3.024</v>
      </c>
      <c r="D26" s="196">
        <v>87.500000000000099</v>
      </c>
      <c r="E26" s="196">
        <v>1</v>
      </c>
      <c r="F26" s="196">
        <v>3.024</v>
      </c>
      <c r="G26" s="196">
        <v>1000</v>
      </c>
      <c r="H26" s="196">
        <v>720</v>
      </c>
      <c r="I26" s="196">
        <v>7.77</v>
      </c>
      <c r="J26" s="202">
        <v>23.496479999999998</v>
      </c>
      <c r="K26" s="202">
        <v>0</v>
      </c>
      <c r="L26" s="202">
        <v>47.132438794499997</v>
      </c>
      <c r="M26" s="202">
        <v>0</v>
      </c>
      <c r="N26" s="202">
        <v>7.77</v>
      </c>
      <c r="O26" s="202">
        <f t="shared" si="0"/>
        <v>23.356123939980158</v>
      </c>
      <c r="P26" s="202">
        <f t="shared" si="1"/>
        <v>70.628918794499995</v>
      </c>
    </row>
    <row r="27" spans="1:16" s="196" customFormat="1" x14ac:dyDescent="0.25">
      <c r="A27" s="196">
        <v>25</v>
      </c>
      <c r="B27" s="197" t="s">
        <v>211</v>
      </c>
      <c r="C27" s="198">
        <v>41.755746000000002</v>
      </c>
      <c r="D27" s="196">
        <v>38.662727777777803</v>
      </c>
      <c r="E27" s="196">
        <v>480</v>
      </c>
      <c r="F27" s="196">
        <v>0</v>
      </c>
      <c r="G27" s="196">
        <v>0</v>
      </c>
      <c r="H27" s="196">
        <v>689</v>
      </c>
      <c r="I27" s="196">
        <v>0</v>
      </c>
      <c r="J27" s="202">
        <v>0</v>
      </c>
      <c r="K27" s="202">
        <v>0</v>
      </c>
      <c r="L27" s="202">
        <v>260.0679452055</v>
      </c>
      <c r="M27" s="202">
        <v>0</v>
      </c>
      <c r="N27" s="202">
        <v>0</v>
      </c>
      <c r="O27" s="202">
        <f t="shared" si="0"/>
        <v>6.228315145070094</v>
      </c>
      <c r="P27" s="202">
        <f t="shared" si="1"/>
        <v>260.0679452055</v>
      </c>
    </row>
    <row r="28" spans="1:16" x14ac:dyDescent="0.25">
      <c r="B28" s="197" t="s">
        <v>212</v>
      </c>
      <c r="C28" s="198">
        <f>SUM(C3:C27)</f>
        <v>254.38399900005999</v>
      </c>
      <c r="D28" s="196"/>
      <c r="E28" s="196"/>
      <c r="F28" s="196"/>
      <c r="G28" s="196"/>
      <c r="H28" s="196"/>
      <c r="I28" s="196"/>
      <c r="J28" s="203">
        <f t="shared" ref="J28:P28" si="2">SUM(J3:J27)</f>
        <v>5033.4608918844197</v>
      </c>
      <c r="K28" s="203">
        <f t="shared" si="2"/>
        <v>7.2650000000000006</v>
      </c>
      <c r="L28" s="203">
        <f t="shared" si="2"/>
        <v>2251.9749949724996</v>
      </c>
      <c r="M28" s="203">
        <f t="shared" si="2"/>
        <v>754.25532863806984</v>
      </c>
      <c r="N28" s="202">
        <f>(J28+M28)/C28</f>
        <v>22.751887867448474</v>
      </c>
      <c r="O28" s="202">
        <f t="shared" si="0"/>
        <v>31.633106827183315</v>
      </c>
      <c r="P28" s="202">
        <f t="shared" si="2"/>
        <v>8046.9562154949908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f xml:space="preserve"> DAY("6/30/2020") * 24 - $C$42</f>
        <v>544</v>
      </c>
      <c r="D41" s="210">
        <f>IF($C$44=0,0,C41/$C$44)</f>
        <v>0.75555555555555554</v>
      </c>
      <c r="E41" s="234">
        <v>16.977268746691198</v>
      </c>
      <c r="F41" s="234"/>
    </row>
    <row r="42" spans="1:21" x14ac:dyDescent="0.25">
      <c r="A42" s="209">
        <v>2</v>
      </c>
      <c r="B42" s="204" t="s">
        <v>219</v>
      </c>
      <c r="C42" s="200">
        <f>NETWORKDAYS("6/1/2020", "6/30/2020") * 8</f>
        <v>176</v>
      </c>
      <c r="D42" s="210">
        <f>IF($C$44=0,0,C42/$C$44)</f>
        <v>0.24444444444444444</v>
      </c>
      <c r="E42" s="235">
        <v>18.387408325454501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v>0</v>
      </c>
      <c r="D43" s="213">
        <f>IF($C$44=0,0,C43/$C$44)</f>
        <v>0</v>
      </c>
      <c r="E43" s="236">
        <v>0</v>
      </c>
      <c r="F43" s="236"/>
    </row>
    <row r="44" spans="1:21" x14ac:dyDescent="0.25">
      <c r="A44" s="214"/>
      <c r="B44" s="204" t="s">
        <v>212</v>
      </c>
      <c r="C44" s="200">
        <f>SUM(C41:C43)</f>
        <v>720</v>
      </c>
      <c r="D44" s="215">
        <f>SUM(D41:D43)</f>
        <v>1</v>
      </c>
      <c r="E44" s="237">
        <f>E41*D41+E42*D42+E43*D43</f>
        <v>17.321969532611117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28.515982975219998</v>
      </c>
      <c r="D52" s="202">
        <v>1.7849191316666699</v>
      </c>
      <c r="E52" s="202">
        <v>570.92745392054997</v>
      </c>
      <c r="F52" s="201">
        <v>319.86180426724002</v>
      </c>
      <c r="G52" s="202">
        <v>2.4913270344499998</v>
      </c>
      <c r="H52" s="202">
        <v>19350.381383378099</v>
      </c>
      <c r="I52" s="202">
        <f>IF(F52=0,0,J52/F52)</f>
        <v>1.7927078922993778</v>
      </c>
      <c r="J52" s="202">
        <f>$E52+$G52</f>
        <v>573.41878095499999</v>
      </c>
    </row>
    <row r="53" spans="1:16" s="196" customFormat="1" x14ac:dyDescent="0.25">
      <c r="A53" s="196">
        <v>2</v>
      </c>
      <c r="B53" s="197" t="s">
        <v>230</v>
      </c>
      <c r="C53" s="198">
        <v>31.152697528739999</v>
      </c>
      <c r="D53" s="202">
        <v>1.9367654516666699</v>
      </c>
      <c r="E53" s="202">
        <v>793.08505613319005</v>
      </c>
      <c r="F53" s="201">
        <v>409.48946888549</v>
      </c>
      <c r="G53" s="202">
        <v>1.9389275589499999</v>
      </c>
      <c r="H53" s="202">
        <v>29673.149919238404</v>
      </c>
      <c r="I53" s="202">
        <f t="shared" ref="I53:I69" si="3">IF(F53=0,0,J53/F53)</f>
        <v>1.9415004392077817</v>
      </c>
      <c r="J53" s="202">
        <f t="shared" ref="J53:J69" si="4">$E53+$G53</f>
        <v>795.02398369214006</v>
      </c>
    </row>
    <row r="54" spans="1:16" s="196" customFormat="1" x14ac:dyDescent="0.25">
      <c r="A54" s="196">
        <v>3</v>
      </c>
      <c r="B54" s="197" t="s">
        <v>231</v>
      </c>
      <c r="C54" s="198">
        <v>4.5640012262100003</v>
      </c>
      <c r="D54" s="202">
        <v>3.06753034458333</v>
      </c>
      <c r="E54" s="202">
        <v>288.05438089896001</v>
      </c>
      <c r="F54" s="201">
        <v>93.904329717729993</v>
      </c>
      <c r="G54" s="202">
        <v>12.017302137130001</v>
      </c>
      <c r="H54" s="202">
        <v>6688.3425724878916</v>
      </c>
      <c r="I54" s="202">
        <f t="shared" si="3"/>
        <v>3.1955042322125617</v>
      </c>
      <c r="J54" s="202">
        <f t="shared" si="4"/>
        <v>300.07168303609001</v>
      </c>
    </row>
    <row r="55" spans="1:16" s="196" customFormat="1" x14ac:dyDescent="0.25">
      <c r="A55" s="196">
        <v>4</v>
      </c>
      <c r="B55" s="197" t="s">
        <v>232</v>
      </c>
      <c r="C55" s="198">
        <v>35.967599999999997</v>
      </c>
      <c r="D55" s="202">
        <v>3.07179737458334</v>
      </c>
      <c r="E55" s="202">
        <v>1425.4023597237001</v>
      </c>
      <c r="F55" s="201">
        <v>464.02877074740002</v>
      </c>
      <c r="G55" s="202">
        <v>59.383565753699997</v>
      </c>
      <c r="H55" s="202">
        <v>33050.482246965817</v>
      </c>
      <c r="I55" s="202">
        <f t="shared" si="3"/>
        <v>3.1997712622126659</v>
      </c>
      <c r="J55" s="202">
        <f t="shared" si="4"/>
        <v>1484.7859254774</v>
      </c>
    </row>
    <row r="56" spans="1:16" s="196" customFormat="1" x14ac:dyDescent="0.25">
      <c r="A56" s="196">
        <v>5</v>
      </c>
      <c r="B56" s="197" t="s">
        <v>233</v>
      </c>
      <c r="C56" s="198">
        <v>24.413903999999999</v>
      </c>
      <c r="D56" s="202">
        <v>2.01333391208333</v>
      </c>
      <c r="E56" s="202">
        <v>651.33091965179904</v>
      </c>
      <c r="F56" s="201">
        <v>323.50864190430002</v>
      </c>
      <c r="G56" s="202">
        <v>15.3054727938</v>
      </c>
      <c r="H56" s="202">
        <v>24378.948146518465</v>
      </c>
      <c r="I56" s="202">
        <f t="shared" si="3"/>
        <v>2.0606447744997265</v>
      </c>
      <c r="J56" s="202">
        <f t="shared" si="4"/>
        <v>666.63639244559909</v>
      </c>
    </row>
    <row r="57" spans="1:16" s="196" customFormat="1" x14ac:dyDescent="0.25">
      <c r="A57" s="196">
        <v>6</v>
      </c>
      <c r="B57" s="197" t="s">
        <v>234</v>
      </c>
      <c r="C57" s="198">
        <v>3.2399999999999998E-2</v>
      </c>
      <c r="D57" s="202">
        <v>3.2768701629166701</v>
      </c>
      <c r="E57" s="202">
        <v>1.3697385951000001</v>
      </c>
      <c r="F57" s="201">
        <v>0.41800209570000002</v>
      </c>
      <c r="G57" s="202">
        <v>0</v>
      </c>
      <c r="H57" s="202">
        <v>375.22629775583482</v>
      </c>
      <c r="I57" s="202">
        <f t="shared" si="3"/>
        <v>3.2768701621129215</v>
      </c>
      <c r="J57" s="202">
        <f t="shared" si="4"/>
        <v>1.3697385951000001</v>
      </c>
    </row>
    <row r="58" spans="1:16" s="196" customFormat="1" x14ac:dyDescent="0.25">
      <c r="A58" s="196">
        <v>7</v>
      </c>
      <c r="B58" s="197" t="s">
        <v>235</v>
      </c>
      <c r="C58" s="198">
        <v>6.6096000000000002E-2</v>
      </c>
      <c r="D58" s="202">
        <v>2.2485355650000001</v>
      </c>
      <c r="E58" s="202">
        <v>1.969353108</v>
      </c>
      <c r="F58" s="201">
        <v>0.87583809599999995</v>
      </c>
      <c r="G58" s="202">
        <v>0</v>
      </c>
      <c r="H58" s="202">
        <v>724.43184119106695</v>
      </c>
      <c r="I58" s="202">
        <f t="shared" si="3"/>
        <v>2.2485355649567453</v>
      </c>
      <c r="J58" s="202">
        <f t="shared" si="4"/>
        <v>1.969353108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8.7619472970000001E-2</v>
      </c>
      <c r="D61" s="202">
        <v>3.6057692308333298</v>
      </c>
      <c r="E61" s="202">
        <v>4.5697099873399996</v>
      </c>
      <c r="F61" s="201">
        <v>1.26733290308</v>
      </c>
      <c r="G61" s="202">
        <v>0</v>
      </c>
      <c r="H61" s="202">
        <v>1143.8022590974729</v>
      </c>
      <c r="I61" s="202">
        <f t="shared" si="3"/>
        <v>3.6057692309844005</v>
      </c>
      <c r="J61" s="202">
        <f t="shared" si="4"/>
        <v>4.5697099873399996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0.03</v>
      </c>
      <c r="D64" s="202">
        <v>3.5124423958333399</v>
      </c>
      <c r="E64" s="202">
        <v>1.59453179513</v>
      </c>
      <c r="F64" s="201">
        <v>0.45396667485999997</v>
      </c>
      <c r="G64" s="202">
        <v>0</v>
      </c>
      <c r="H64" s="202">
        <v>407.51048012567315</v>
      </c>
      <c r="I64" s="202">
        <f t="shared" si="3"/>
        <v>3.5124423959572408</v>
      </c>
      <c r="J64" s="202">
        <f t="shared" si="4"/>
        <v>1.59453179513</v>
      </c>
    </row>
    <row r="65" spans="1:21" s="196" customFormat="1" x14ac:dyDescent="0.25">
      <c r="A65" s="196">
        <v>14</v>
      </c>
      <c r="B65" s="197" t="s">
        <v>239</v>
      </c>
      <c r="C65" s="198">
        <v>1.08448E-2</v>
      </c>
      <c r="D65" s="202">
        <v>3.5124423958333399</v>
      </c>
      <c r="E65" s="202">
        <v>0.49908911442999998</v>
      </c>
      <c r="F65" s="201">
        <v>0.14209175786</v>
      </c>
      <c r="G65" s="202">
        <v>0</v>
      </c>
      <c r="H65" s="202" t="e">
        <v>#N/A</v>
      </c>
      <c r="I65" s="202">
        <f t="shared" si="3"/>
        <v>3.5124423960026023</v>
      </c>
      <c r="J65" s="202">
        <f t="shared" si="4"/>
        <v>0.49908911442999998</v>
      </c>
    </row>
    <row r="66" spans="1:21" s="196" customFormat="1" x14ac:dyDescent="0.25">
      <c r="A66" s="196">
        <v>15</v>
      </c>
      <c r="B66" s="197" t="s">
        <v>240</v>
      </c>
      <c r="C66" s="198">
        <v>2.1741873759999999E-2</v>
      </c>
      <c r="D66" s="202">
        <v>3.3967391299999998</v>
      </c>
      <c r="E66" s="202">
        <v>1.2873057995999999</v>
      </c>
      <c r="F66" s="201">
        <v>0.37898282745</v>
      </c>
      <c r="G66" s="202">
        <v>0</v>
      </c>
      <c r="H66" s="202">
        <v>349.61515447416974</v>
      </c>
      <c r="I66" s="202">
        <f t="shared" si="3"/>
        <v>3.3967391300067202</v>
      </c>
      <c r="J66" s="202">
        <f t="shared" si="4"/>
        <v>1.2873057995999999</v>
      </c>
    </row>
    <row r="67" spans="1:21" s="196" customFormat="1" x14ac:dyDescent="0.25">
      <c r="A67" s="196">
        <v>16</v>
      </c>
      <c r="B67" s="197" t="s">
        <v>241</v>
      </c>
      <c r="C67" s="198">
        <v>7.1468629010000007E-2</v>
      </c>
      <c r="D67" s="202">
        <v>18.714285709999999</v>
      </c>
      <c r="E67" s="202">
        <v>15.00246915486</v>
      </c>
      <c r="F67" s="201">
        <v>0.80165865738999997</v>
      </c>
      <c r="G67" s="202">
        <v>0</v>
      </c>
      <c r="H67" s="202">
        <v>5726.1332670714273</v>
      </c>
      <c r="I67" s="202">
        <f t="shared" si="3"/>
        <v>18.714285708214373</v>
      </c>
      <c r="J67" s="202">
        <f t="shared" si="4"/>
        <v>15.00246915486</v>
      </c>
    </row>
    <row r="68" spans="1:21" s="196" customFormat="1" x14ac:dyDescent="0.25">
      <c r="A68" s="196">
        <v>17</v>
      </c>
      <c r="B68" s="197" t="s">
        <v>242</v>
      </c>
      <c r="C68" s="198">
        <v>7.8076936159999999E-2</v>
      </c>
      <c r="D68" s="202">
        <v>20.428571430000002</v>
      </c>
      <c r="E68" s="202">
        <v>20.965626227929999</v>
      </c>
      <c r="F68" s="201">
        <v>1.0262893957999999</v>
      </c>
      <c r="G68" s="202">
        <v>0</v>
      </c>
      <c r="H68" s="202">
        <v>7330.6385414285705</v>
      </c>
      <c r="I68" s="202">
        <f t="shared" si="3"/>
        <v>20.428571428029951</v>
      </c>
      <c r="J68" s="202">
        <f t="shared" si="4"/>
        <v>20.965626227929999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6/1/2020&amp;CMontana-Dakota Utility Co.
Plexos V6.400
Plexos by Month - 2020 Operating Plan - Base Model - V-1 - Run 1&amp;RPage 11
8/21/2019
11:08:38 AM</oddHeader>
    <oddFooter>&amp;RPage 11
8/21/2019
11:08:38 AM&amp;C
Plexos V6.400
Plexos by Month - 2020 Operating Plan - Base Model - V-1 - Run 1&amp;L
Month Beginning: 6/1/2020</oddFooter>
    <evenHeader>&amp;L
Month Beginning: 6/1/2020&amp;CMontana-Dakota Utility Co.
Plexos V6.400
Plexos by Month - 2020 Operating Plan - Base Model - V-1 - Run 1&amp;RPage 12
8/21/2019
11:08:38 AM</evenHeader>
    <evenFooter>&amp;RPage 12
8/21/2019
11:08:38 AM&amp;C
Plexos V6.400
Plexos by Month - 2020 Operating Plan - Base Model - V-1 - Run 1&amp;L
Month Beginning: 6/1/2020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3B95-0213-4135-BCE9-974075BFD8C0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62.094325361300001</v>
      </c>
      <c r="D3" s="199">
        <v>76.921764730811205</v>
      </c>
      <c r="E3" s="200">
        <v>1</v>
      </c>
      <c r="F3" s="201">
        <v>653.17271581064995</v>
      </c>
      <c r="G3" s="200">
        <v>10519.040379456899</v>
      </c>
      <c r="H3" s="200">
        <v>672</v>
      </c>
      <c r="I3" s="202">
        <v>1.8272425480955501</v>
      </c>
      <c r="J3" s="202">
        <v>1193.5049775843399</v>
      </c>
      <c r="K3" s="202">
        <v>0</v>
      </c>
      <c r="L3" s="202">
        <v>230.76733908223</v>
      </c>
      <c r="M3" s="202">
        <v>284.54538313839998</v>
      </c>
      <c r="N3" s="202">
        <v>23.803308146478798</v>
      </c>
      <c r="O3" s="202">
        <f>IF(C3=0,0,IF(P3/C3&gt;9999,TEXT(P3/C3,"0.00E+00"),P3/C3))</f>
        <v>27.519707958208731</v>
      </c>
      <c r="P3" s="202">
        <f>SUM(J3:M3)</f>
        <v>1708.8176998049698</v>
      </c>
    </row>
    <row r="4" spans="1:16" s="196" customFormat="1" x14ac:dyDescent="0.25">
      <c r="A4" s="196">
        <v>2</v>
      </c>
      <c r="B4" s="196" t="s">
        <v>188</v>
      </c>
      <c r="C4" s="198">
        <v>74.712000000000003</v>
      </c>
      <c r="D4" s="199">
        <v>93.762236077226603</v>
      </c>
      <c r="E4" s="200">
        <v>0</v>
      </c>
      <c r="F4" s="201">
        <v>846.87339925589004</v>
      </c>
      <c r="G4" s="200">
        <v>11335.172385371699</v>
      </c>
      <c r="H4" s="200">
        <v>744</v>
      </c>
      <c r="I4" s="202">
        <v>1.9829949665495401</v>
      </c>
      <c r="J4" s="202">
        <v>1679.3456880291301</v>
      </c>
      <c r="K4" s="202">
        <v>0</v>
      </c>
      <c r="L4" s="202">
        <v>339.29075189577998</v>
      </c>
      <c r="M4" s="202">
        <v>271.64536079999999</v>
      </c>
      <c r="N4" s="202">
        <v>26.113489785163399</v>
      </c>
      <c r="O4" s="202">
        <f t="shared" ref="O4:O28" si="0">IF(C4=0,0,IF(P4/C4&gt;9999,TEXT(P4/C4,"0.00E+00"),P4/C4))</f>
        <v>30.654805128023746</v>
      </c>
      <c r="P4" s="202">
        <f t="shared" ref="P4:P27" si="1">SUM(J4:M4)</f>
        <v>2290.2818007249102</v>
      </c>
    </row>
    <row r="5" spans="1:16" s="196" customFormat="1" x14ac:dyDescent="0.25">
      <c r="A5" s="196">
        <v>3</v>
      </c>
      <c r="B5" s="197" t="s">
        <v>189</v>
      </c>
      <c r="C5" s="198">
        <v>5.2261066242099998</v>
      </c>
      <c r="D5" s="199">
        <v>26.913168047882401</v>
      </c>
      <c r="E5" s="200">
        <v>0</v>
      </c>
      <c r="F5" s="201">
        <v>107.67334396906</v>
      </c>
      <c r="G5" s="200">
        <v>20602.974969982799</v>
      </c>
      <c r="H5" s="200">
        <v>744</v>
      </c>
      <c r="I5" s="202">
        <v>3.0675303446051601</v>
      </c>
      <c r="J5" s="202">
        <v>330.29124993020002</v>
      </c>
      <c r="K5" s="202">
        <v>0</v>
      </c>
      <c r="L5" s="202">
        <v>196.38834307409999</v>
      </c>
      <c r="M5" s="202">
        <v>31.796730184059999</v>
      </c>
      <c r="N5" s="202">
        <v>69.284460909558007</v>
      </c>
      <c r="O5" s="202">
        <f t="shared" si="0"/>
        <v>106.86278779717429</v>
      </c>
      <c r="P5" s="202">
        <f t="shared" si="1"/>
        <v>558.47632318836008</v>
      </c>
    </row>
    <row r="6" spans="1:16" s="196" customFormat="1" x14ac:dyDescent="0.25">
      <c r="A6" s="196">
        <v>4</v>
      </c>
      <c r="B6" s="197" t="s">
        <v>190</v>
      </c>
      <c r="C6" s="198">
        <v>37.200000000000003</v>
      </c>
      <c r="D6" s="199">
        <v>66.755674232309801</v>
      </c>
      <c r="E6" s="200">
        <v>0</v>
      </c>
      <c r="F6" s="201">
        <v>479.92833193786998</v>
      </c>
      <c r="G6" s="200">
        <v>12901.2992456417</v>
      </c>
      <c r="H6" s="200">
        <v>744</v>
      </c>
      <c r="I6" s="202">
        <v>3.07198194011522</v>
      </c>
      <c r="J6" s="202">
        <v>1474.33116826276</v>
      </c>
      <c r="K6" s="202">
        <v>0</v>
      </c>
      <c r="L6" s="202">
        <v>357.26585474517998</v>
      </c>
      <c r="M6" s="202">
        <v>268.13536800000003</v>
      </c>
      <c r="N6" s="202">
        <v>46.840498286633299</v>
      </c>
      <c r="O6" s="202">
        <f t="shared" si="0"/>
        <v>56.444419113116659</v>
      </c>
      <c r="P6" s="202">
        <f t="shared" si="1"/>
        <v>2099.7323910079399</v>
      </c>
    </row>
    <row r="7" spans="1:16" s="196" customFormat="1" x14ac:dyDescent="0.25">
      <c r="A7" s="196">
        <v>5</v>
      </c>
      <c r="B7" s="197" t="s">
        <v>191</v>
      </c>
      <c r="C7" s="198">
        <v>22.847999999999999</v>
      </c>
      <c r="D7" s="199">
        <v>65.339739190116703</v>
      </c>
      <c r="E7" s="200">
        <v>1</v>
      </c>
      <c r="F7" s="201">
        <v>302.75884800028001</v>
      </c>
      <c r="G7" s="200">
        <v>13251.0000000123</v>
      </c>
      <c r="H7" s="200">
        <v>672</v>
      </c>
      <c r="I7" s="202">
        <v>2.0139689567121</v>
      </c>
      <c r="J7" s="202">
        <v>609.74692124247997</v>
      </c>
      <c r="K7" s="202">
        <v>3</v>
      </c>
      <c r="L7" s="202">
        <v>377.62797441084001</v>
      </c>
      <c r="M7" s="202">
        <v>207.28253952</v>
      </c>
      <c r="N7" s="202">
        <v>35.759342645416702</v>
      </c>
      <c r="O7" s="202">
        <f t="shared" si="0"/>
        <v>52.418480180905114</v>
      </c>
      <c r="P7" s="202">
        <f t="shared" si="1"/>
        <v>1197.65743517332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26.830516561749999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26.830516561749999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5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225.62567305210999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225.62567305210999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52.990345660240003</v>
      </c>
      <c r="M14" s="202">
        <v>0</v>
      </c>
      <c r="N14" s="202">
        <v>0</v>
      </c>
      <c r="O14" s="202">
        <f t="shared" si="0"/>
        <v>0</v>
      </c>
      <c r="P14" s="202">
        <f t="shared" si="1"/>
        <v>52.990345660240003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15.80235820271</v>
      </c>
      <c r="M15" s="202">
        <v>0</v>
      </c>
      <c r="N15" s="202">
        <v>0</v>
      </c>
      <c r="O15" s="202">
        <f t="shared" si="0"/>
        <v>0</v>
      </c>
      <c r="P15" s="202">
        <f t="shared" si="1"/>
        <v>15.80235820271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5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1.24428444017</v>
      </c>
      <c r="D17" s="196">
        <v>81.581723063860395</v>
      </c>
      <c r="E17" s="196">
        <v>0</v>
      </c>
      <c r="F17" s="196">
        <v>1.24428444117</v>
      </c>
      <c r="G17" s="196">
        <v>1000.00000080368</v>
      </c>
      <c r="H17" s="196">
        <v>744</v>
      </c>
      <c r="I17" s="196">
        <v>33.2500000000542</v>
      </c>
      <c r="J17" s="202">
        <v>41.37245766897</v>
      </c>
      <c r="K17" s="202">
        <v>0</v>
      </c>
      <c r="L17" s="202">
        <v>0</v>
      </c>
      <c r="M17" s="202">
        <v>0</v>
      </c>
      <c r="N17" s="202">
        <v>33.250000026776398</v>
      </c>
      <c r="O17" s="202">
        <f t="shared" si="0"/>
        <v>33.250000026776434</v>
      </c>
      <c r="P17" s="202">
        <f t="shared" si="1"/>
        <v>41.37245766897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5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5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s="196" customFormat="1" x14ac:dyDescent="0.25">
      <c r="A20" s="196">
        <v>18</v>
      </c>
      <c r="B20" s="197" t="s">
        <v>204</v>
      </c>
      <c r="C20" s="198">
        <v>-15.537384759009999</v>
      </c>
      <c r="D20" s="196">
        <v>2.0883581665336002</v>
      </c>
      <c r="J20" s="202">
        <v>-402.72901295323999</v>
      </c>
      <c r="K20" s="202"/>
      <c r="L20" s="202"/>
      <c r="M20" s="202"/>
      <c r="N20" s="202"/>
      <c r="O20" s="202">
        <f t="shared" si="0"/>
        <v>25.919999999980742</v>
      </c>
      <c r="P20" s="202">
        <f t="shared" si="1"/>
        <v>-402.72901295323999</v>
      </c>
    </row>
    <row r="21" spans="1:16" s="196" customFormat="1" x14ac:dyDescent="0.25">
      <c r="A21" s="196">
        <v>19</v>
      </c>
      <c r="B21" s="197" t="s">
        <v>205</v>
      </c>
      <c r="C21" s="198">
        <v>48.334508733189999</v>
      </c>
      <c r="D21" s="196">
        <v>25.9862950178441</v>
      </c>
      <c r="E21" s="196">
        <v>1</v>
      </c>
      <c r="F21" s="196">
        <v>48.334508732240003</v>
      </c>
      <c r="G21" s="196">
        <v>999.99999998034502</v>
      </c>
      <c r="H21" s="196">
        <v>503</v>
      </c>
      <c r="I21" s="196">
        <v>25.92</v>
      </c>
      <c r="J21" s="202">
        <v>1252.83046633966</v>
      </c>
      <c r="K21" s="202">
        <v>0</v>
      </c>
      <c r="L21" s="202">
        <v>0</v>
      </c>
      <c r="M21" s="202">
        <v>0</v>
      </c>
      <c r="N21" s="202">
        <v>25.9199999994905</v>
      </c>
      <c r="O21" s="202">
        <f t="shared" si="0"/>
        <v>25.919999999490535</v>
      </c>
      <c r="P21" s="202">
        <f t="shared" si="1"/>
        <v>1252.83046633966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10.82876712319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3">
        <v>0</v>
      </c>
      <c r="K23" s="203">
        <v>0</v>
      </c>
      <c r="L23" s="203">
        <v>10.191780821989999</v>
      </c>
      <c r="M23" s="203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x14ac:dyDescent="0.25">
      <c r="A24" s="196">
        <v>22</v>
      </c>
      <c r="B24" s="197" t="s">
        <v>208</v>
      </c>
      <c r="C24" s="198">
        <v>4.7234096000000001</v>
      </c>
      <c r="D24" s="196">
        <v>32.341664886420297</v>
      </c>
      <c r="E24" s="196">
        <v>416</v>
      </c>
      <c r="F24" s="196">
        <v>0</v>
      </c>
      <c r="G24" s="196">
        <v>0</v>
      </c>
      <c r="H24" s="196">
        <v>651</v>
      </c>
      <c r="I24" s="196">
        <v>0</v>
      </c>
      <c r="J24" s="203">
        <v>0</v>
      </c>
      <c r="K24" s="203">
        <v>0</v>
      </c>
      <c r="L24" s="203">
        <v>35.967207330119997</v>
      </c>
      <c r="M24" s="203">
        <v>0</v>
      </c>
      <c r="N24" s="202">
        <v>0</v>
      </c>
      <c r="O24" s="202">
        <f t="shared" si="0"/>
        <v>7.614670413110054</v>
      </c>
      <c r="P24" s="202">
        <f t="shared" si="1"/>
        <v>35.967207330119997</v>
      </c>
    </row>
    <row r="25" spans="1:16" s="196" customFormat="1" x14ac:dyDescent="0.25">
      <c r="A25" s="196">
        <v>23</v>
      </c>
      <c r="B25" s="197" t="s">
        <v>209</v>
      </c>
      <c r="C25" s="198">
        <v>6.2233999999999998</v>
      </c>
      <c r="D25" s="196">
        <v>27.697963398134299</v>
      </c>
      <c r="E25" s="196">
        <v>580</v>
      </c>
      <c r="F25" s="196">
        <v>0</v>
      </c>
      <c r="G25" s="196">
        <v>0</v>
      </c>
      <c r="H25" s="196">
        <v>664</v>
      </c>
      <c r="I25" s="196">
        <v>0</v>
      </c>
      <c r="J25" s="202">
        <v>0</v>
      </c>
      <c r="K25" s="202">
        <v>0</v>
      </c>
      <c r="L25" s="202">
        <v>52.166551660240003</v>
      </c>
      <c r="M25" s="202">
        <v>0</v>
      </c>
      <c r="N25" s="202">
        <v>0</v>
      </c>
      <c r="O25" s="202">
        <f t="shared" si="0"/>
        <v>8.3823234341742463</v>
      </c>
      <c r="P25" s="202">
        <f t="shared" si="1"/>
        <v>52.166551660240003</v>
      </c>
    </row>
    <row r="26" spans="1:16" s="196" customFormat="1" x14ac:dyDescent="0.25">
      <c r="A26" s="196">
        <v>24</v>
      </c>
      <c r="B26" s="197" t="s">
        <v>210</v>
      </c>
      <c r="C26" s="198">
        <v>3.1248</v>
      </c>
      <c r="D26" s="199">
        <v>87.500000000000099</v>
      </c>
      <c r="E26" s="200">
        <v>0</v>
      </c>
      <c r="F26" s="201">
        <v>3.1248</v>
      </c>
      <c r="G26" s="200">
        <v>1000</v>
      </c>
      <c r="H26" s="200">
        <v>744</v>
      </c>
      <c r="I26" s="202">
        <v>7.77</v>
      </c>
      <c r="J26" s="202">
        <v>24.279696000000001</v>
      </c>
      <c r="K26" s="202">
        <v>0</v>
      </c>
      <c r="L26" s="202">
        <v>48.703520087649999</v>
      </c>
      <c r="M26" s="202">
        <v>0</v>
      </c>
      <c r="N26" s="202">
        <v>7.77</v>
      </c>
      <c r="O26" s="202">
        <f t="shared" si="0"/>
        <v>23.356123939980158</v>
      </c>
      <c r="P26" s="202">
        <f t="shared" si="1"/>
        <v>72.983216087649993</v>
      </c>
    </row>
    <row r="27" spans="1:16" s="196" customFormat="1" x14ac:dyDescent="0.25">
      <c r="A27" s="196">
        <v>25</v>
      </c>
      <c r="B27" s="197" t="s">
        <v>211</v>
      </c>
      <c r="C27" s="198">
        <v>41.913552000000003</v>
      </c>
      <c r="D27" s="196">
        <v>37.556946236559099</v>
      </c>
      <c r="E27" s="196">
        <v>1080</v>
      </c>
      <c r="F27" s="196">
        <v>0</v>
      </c>
      <c r="G27" s="196">
        <v>0</v>
      </c>
      <c r="H27" s="196">
        <v>693</v>
      </c>
      <c r="I27" s="196">
        <v>0</v>
      </c>
      <c r="J27" s="202">
        <v>0</v>
      </c>
      <c r="K27" s="202">
        <v>0</v>
      </c>
      <c r="L27" s="202">
        <v>268.73687671235001</v>
      </c>
      <c r="M27" s="202">
        <v>0</v>
      </c>
      <c r="N27" s="202">
        <v>0</v>
      </c>
      <c r="O27" s="202">
        <f t="shared" si="0"/>
        <v>6.4116941630799982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292.10700199986002</v>
      </c>
      <c r="D28" s="196"/>
      <c r="E28" s="196"/>
      <c r="F28" s="196"/>
      <c r="G28" s="196"/>
      <c r="H28" s="196"/>
      <c r="I28" s="196"/>
      <c r="J28" s="203">
        <f t="shared" ref="J28:P28" si="2">SUM(J3:J27)</f>
        <v>6202.9736121042997</v>
      </c>
      <c r="K28" s="203">
        <f t="shared" si="2"/>
        <v>3</v>
      </c>
      <c r="L28" s="203">
        <f t="shared" si="2"/>
        <v>2327.0408281382502</v>
      </c>
      <c r="M28" s="203">
        <f t="shared" si="2"/>
        <v>1063.40538164246</v>
      </c>
      <c r="N28" s="202">
        <f>(J28+M28)/C28</f>
        <v>24.875743970527083</v>
      </c>
      <c r="O28" s="202">
        <f t="shared" si="0"/>
        <v>32.852412835655372</v>
      </c>
      <c r="P28" s="202">
        <f t="shared" si="2"/>
        <v>9596.4198218850106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f xml:space="preserve"> DAY("7/31/2020") * 24 - $C$42</f>
        <v>560</v>
      </c>
      <c r="D41" s="210">
        <f>IF($C$44=0,0,C41/$C$44)</f>
        <v>0.75268817204301075</v>
      </c>
      <c r="E41" s="234">
        <v>25.909330357142899</v>
      </c>
      <c r="F41" s="234"/>
    </row>
    <row r="42" spans="1:21" x14ac:dyDescent="0.25">
      <c r="A42" s="209">
        <v>2</v>
      </c>
      <c r="B42" s="204" t="s">
        <v>219</v>
      </c>
      <c r="C42" s="200">
        <f>NETWORKDAYS("7/1/2020", "7/31/2020") * 8</f>
        <v>184</v>
      </c>
      <c r="D42" s="210">
        <f>IF($C$44=0,0,C42/$C$44)</f>
        <v>0.24731182795698925</v>
      </c>
      <c r="E42" s="235">
        <v>26.0430313700544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v>0</v>
      </c>
      <c r="D43" s="213">
        <f>IF($C$44=0,0,C43/$C$44)</f>
        <v>0</v>
      </c>
      <c r="E43" s="236">
        <v>0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25.942396199045742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61.939089547899997</v>
      </c>
      <c r="D52" s="202">
        <v>1.7849191316666699</v>
      </c>
      <c r="E52" s="202">
        <v>1162.9458255301799</v>
      </c>
      <c r="F52" s="201">
        <v>651.53978402112</v>
      </c>
      <c r="G52" s="202">
        <v>5.0746874313300001</v>
      </c>
      <c r="H52" s="202">
        <v>39415.594919607989</v>
      </c>
      <c r="I52" s="202">
        <f>IF(F52=0,0,J52/F52)</f>
        <v>1.7927078922990953</v>
      </c>
      <c r="J52" s="202">
        <f>$E52+$G52</f>
        <v>1168.0205129615099</v>
      </c>
    </row>
    <row r="53" spans="1:16" s="196" customFormat="1" x14ac:dyDescent="0.25">
      <c r="A53" s="196">
        <v>2</v>
      </c>
      <c r="B53" s="197" t="s">
        <v>230</v>
      </c>
      <c r="C53" s="198">
        <v>74.525219999999905</v>
      </c>
      <c r="D53" s="202">
        <v>1.9367654516666699</v>
      </c>
      <c r="E53" s="202">
        <v>1636.09465370715</v>
      </c>
      <c r="F53" s="201">
        <v>844.75621575775995</v>
      </c>
      <c r="G53" s="202">
        <v>3.9999102095199999</v>
      </c>
      <c r="H53" s="202">
        <v>61214.218533171013</v>
      </c>
      <c r="I53" s="202">
        <f t="shared" ref="I53:I69" si="3">IF(F53=0,0,J53/F53)</f>
        <v>1.9415004392071609</v>
      </c>
      <c r="J53" s="202">
        <f t="shared" ref="J53:J69" si="4">$E53+$G53</f>
        <v>1640.09456391667</v>
      </c>
    </row>
    <row r="54" spans="1:16" s="196" customFormat="1" x14ac:dyDescent="0.25">
      <c r="A54" s="196">
        <v>3</v>
      </c>
      <c r="B54" s="197" t="s">
        <v>231</v>
      </c>
      <c r="C54" s="198">
        <v>5.2261066242099998</v>
      </c>
      <c r="D54" s="202">
        <v>3.06753034458333</v>
      </c>
      <c r="E54" s="202">
        <v>330.29124993020002</v>
      </c>
      <c r="F54" s="201">
        <v>107.67334396906</v>
      </c>
      <c r="G54" s="202">
        <v>13.779376419409999</v>
      </c>
      <c r="H54" s="202">
        <v>7669.0415932378928</v>
      </c>
      <c r="I54" s="202">
        <f t="shared" si="3"/>
        <v>3.1955042322125609</v>
      </c>
      <c r="J54" s="202">
        <f t="shared" si="4"/>
        <v>344.07062634961005</v>
      </c>
    </row>
    <row r="55" spans="1:16" s="196" customFormat="1" x14ac:dyDescent="0.25">
      <c r="A55" s="196">
        <v>4</v>
      </c>
      <c r="B55" s="197" t="s">
        <v>232</v>
      </c>
      <c r="C55" s="198">
        <v>37.166519999999998</v>
      </c>
      <c r="D55" s="202">
        <v>3.07179737458334</v>
      </c>
      <c r="E55" s="202">
        <v>1472.9157717144899</v>
      </c>
      <c r="F55" s="201">
        <v>479.49639643898001</v>
      </c>
      <c r="G55" s="202">
        <v>61.36301794549</v>
      </c>
      <c r="H55" s="202">
        <v>34152.164988531338</v>
      </c>
      <c r="I55" s="202">
        <f t="shared" si="3"/>
        <v>3.1997712622126655</v>
      </c>
      <c r="J55" s="202">
        <f t="shared" si="4"/>
        <v>1534.2787896599798</v>
      </c>
    </row>
    <row r="56" spans="1:16" s="196" customFormat="1" x14ac:dyDescent="0.25">
      <c r="A56" s="196">
        <v>5</v>
      </c>
      <c r="B56" s="197" t="s">
        <v>233</v>
      </c>
      <c r="C56" s="198">
        <v>22.786310400000001</v>
      </c>
      <c r="D56" s="202">
        <v>2.01333391208333</v>
      </c>
      <c r="E56" s="202">
        <v>607.90885834168</v>
      </c>
      <c r="F56" s="201">
        <v>301.94139911067998</v>
      </c>
      <c r="G56" s="202">
        <v>14.28510794088</v>
      </c>
      <c r="H56" s="202">
        <v>22753.684936750564</v>
      </c>
      <c r="I56" s="202">
        <f t="shared" si="3"/>
        <v>2.0606447744997296</v>
      </c>
      <c r="J56" s="202">
        <f t="shared" si="4"/>
        <v>622.19396628256004</v>
      </c>
    </row>
    <row r="57" spans="1:16" s="196" customFormat="1" x14ac:dyDescent="0.25">
      <c r="A57" s="196">
        <v>6</v>
      </c>
      <c r="B57" s="197" t="s">
        <v>234</v>
      </c>
      <c r="C57" s="198">
        <v>3.3480000000000003E-2</v>
      </c>
      <c r="D57" s="202">
        <v>3.2768701629166701</v>
      </c>
      <c r="E57" s="202">
        <v>1.4153965482699999</v>
      </c>
      <c r="F57" s="201">
        <v>0.43193549888999999</v>
      </c>
      <c r="G57" s="202">
        <v>0</v>
      </c>
      <c r="H57" s="202">
        <v>387.73384101436267</v>
      </c>
      <c r="I57" s="202">
        <f t="shared" si="3"/>
        <v>3.2768701621129215</v>
      </c>
      <c r="J57" s="202">
        <f t="shared" si="4"/>
        <v>1.4153965482699999</v>
      </c>
    </row>
    <row r="58" spans="1:16" s="196" customFormat="1" x14ac:dyDescent="0.25">
      <c r="A58" s="196">
        <v>7</v>
      </c>
      <c r="B58" s="197" t="s">
        <v>235</v>
      </c>
      <c r="C58" s="198">
        <v>6.1689599999999997E-2</v>
      </c>
      <c r="D58" s="202">
        <v>2.2485355650000001</v>
      </c>
      <c r="E58" s="202">
        <v>1.8380629008</v>
      </c>
      <c r="F58" s="201">
        <v>0.81744888959999995</v>
      </c>
      <c r="G58" s="202">
        <v>0</v>
      </c>
      <c r="H58" s="202">
        <v>676.13638511166243</v>
      </c>
      <c r="I58" s="202">
        <f t="shared" si="3"/>
        <v>2.2485355649567453</v>
      </c>
      <c r="J58" s="202">
        <f t="shared" si="4"/>
        <v>1.8380629008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0.15523581340000001</v>
      </c>
      <c r="D67" s="202">
        <v>18.714285709999999</v>
      </c>
      <c r="E67" s="202">
        <v>30.559152054150001</v>
      </c>
      <c r="F67" s="201">
        <v>1.63293178953</v>
      </c>
      <c r="G67" s="202">
        <v>0</v>
      </c>
      <c r="H67" s="202">
        <v>11663.798496642856</v>
      </c>
      <c r="I67" s="202">
        <f t="shared" si="3"/>
        <v>18.714285709965704</v>
      </c>
      <c r="J67" s="202">
        <f t="shared" si="4"/>
        <v>30.559152054150001</v>
      </c>
    </row>
    <row r="68" spans="1:21" s="196" customFormat="1" x14ac:dyDescent="0.25">
      <c r="A68" s="196">
        <v>17</v>
      </c>
      <c r="B68" s="197" t="s">
        <v>242</v>
      </c>
      <c r="C68" s="198">
        <v>0.18678</v>
      </c>
      <c r="D68" s="202">
        <v>20.428571430000002</v>
      </c>
      <c r="E68" s="202">
        <v>43.251034322279999</v>
      </c>
      <c r="F68" s="201">
        <v>2.1171834981300002</v>
      </c>
      <c r="G68" s="202">
        <v>0</v>
      </c>
      <c r="H68" s="202">
        <v>15122.739272357143</v>
      </c>
      <c r="I68" s="202">
        <f t="shared" si="3"/>
        <v>20.42857143014832</v>
      </c>
      <c r="J68" s="202">
        <f t="shared" si="4"/>
        <v>43.251034322279999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7/1/2020&amp;CMontana-Dakota Utility Co.
Plexos V6.400
Plexos by Month - 2020 Operating Plan - Base Model - V-1 - Run 1&amp;RPage 13
8/21/2019
11:08:38 AM</oddHeader>
    <oddFooter>&amp;RPage 13
8/21/2019
11:08:38 AM&amp;C
Plexos V6.400
Plexos by Month - 2020 Operating Plan - Base Model - V-1 - Run 1&amp;L
Month Beginning: 7/1/2020</oddFooter>
    <evenHeader>&amp;L
Month Beginning: 7/1/2020&amp;CMontana-Dakota Utility Co.
Plexos V6.400
Plexos by Month - 2020 Operating Plan - Base Model - V-1 - Run 1&amp;RPage 14
8/21/2019
11:08:38 AM</evenHeader>
    <evenFooter>&amp;RPage 14
8/21/2019
11:08:38 AM&amp;C
Plexos V6.400
Plexos by Month - 2020 Operating Plan - Base Model - V-1 - Run 1&amp;L
Month Beginning: 7/1/2020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9E27-FD62-4809-B2F0-21BD62A35C66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55.372749999760003</v>
      </c>
      <c r="D3" s="199">
        <v>68.595151379713599</v>
      </c>
      <c r="E3" s="200">
        <v>2</v>
      </c>
      <c r="F3" s="201">
        <v>582.49750351364003</v>
      </c>
      <c r="G3" s="200">
        <v>10519.5697074132</v>
      </c>
      <c r="H3" s="200">
        <v>600</v>
      </c>
      <c r="I3" s="202">
        <v>1.8272425480955301</v>
      </c>
      <c r="J3" s="202">
        <v>1064.36422257955</v>
      </c>
      <c r="K3" s="202">
        <v>0</v>
      </c>
      <c r="L3" s="202">
        <v>230.76733908223</v>
      </c>
      <c r="M3" s="202">
        <v>253.74396569140001</v>
      </c>
      <c r="N3" s="202">
        <v>23.8042753570423</v>
      </c>
      <c r="O3" s="202">
        <f>IF(C3=0,0,IF(P3/C3&gt;9999,TEXT(P3/C3,"0.00E+00"),P3/C3))</f>
        <v>27.971800702690278</v>
      </c>
      <c r="P3" s="202">
        <f>SUM(J3:M3)</f>
        <v>1548.8755273531799</v>
      </c>
    </row>
    <row r="4" spans="1:16" s="196" customFormat="1" x14ac:dyDescent="0.25">
      <c r="A4" s="196">
        <v>2</v>
      </c>
      <c r="B4" s="196" t="s">
        <v>188</v>
      </c>
      <c r="C4" s="198">
        <v>74.772000000000006</v>
      </c>
      <c r="D4" s="199">
        <v>93.837535014005596</v>
      </c>
      <c r="E4" s="200">
        <v>0</v>
      </c>
      <c r="F4" s="201">
        <v>847.45659673633997</v>
      </c>
      <c r="G4" s="200">
        <v>11333.876273689901</v>
      </c>
      <c r="H4" s="200">
        <v>744</v>
      </c>
      <c r="I4" s="202">
        <v>1.9829949665495299</v>
      </c>
      <c r="J4" s="202">
        <v>1680.5021656973599</v>
      </c>
      <c r="K4" s="202">
        <v>0</v>
      </c>
      <c r="L4" s="202">
        <v>339.29075189577998</v>
      </c>
      <c r="M4" s="202">
        <v>271.86351480000002</v>
      </c>
      <c r="N4" s="202">
        <v>26.1109196022222</v>
      </c>
      <c r="O4" s="202">
        <f t="shared" ref="O4:O28" si="0">IF(C4=0,0,IF(P4/C4&gt;9999,TEXT(P4/C4,"0.00E+00"),P4/C4))</f>
        <v>30.648590814651737</v>
      </c>
      <c r="P4" s="202">
        <f t="shared" ref="P4:P27" si="1">SUM(J4:M4)</f>
        <v>2291.6564323931398</v>
      </c>
    </row>
    <row r="5" spans="1:16" s="196" customFormat="1" x14ac:dyDescent="0.25">
      <c r="A5" s="196">
        <v>3</v>
      </c>
      <c r="B5" s="197" t="s">
        <v>189</v>
      </c>
      <c r="C5" s="198">
        <v>4.3401163240000002</v>
      </c>
      <c r="D5" s="199">
        <v>22.350535183125299</v>
      </c>
      <c r="E5" s="200">
        <v>2</v>
      </c>
      <c r="F5" s="201">
        <v>88.270592480389993</v>
      </c>
      <c r="G5" s="200">
        <v>20338.301070934602</v>
      </c>
      <c r="H5" s="200">
        <v>600</v>
      </c>
      <c r="I5" s="202">
        <v>3.06753034460547</v>
      </c>
      <c r="J5" s="202">
        <v>270.77272096989998</v>
      </c>
      <c r="K5" s="202">
        <v>2</v>
      </c>
      <c r="L5" s="202">
        <v>196.38834307409999</v>
      </c>
      <c r="M5" s="202">
        <v>26.406179139660001</v>
      </c>
      <c r="N5" s="202">
        <v>68.472565692815294</v>
      </c>
      <c r="O5" s="202">
        <f t="shared" si="0"/>
        <v>114.18294031504857</v>
      </c>
      <c r="P5" s="202">
        <f t="shared" si="1"/>
        <v>495.56724318366003</v>
      </c>
    </row>
    <row r="6" spans="1:16" s="196" customFormat="1" x14ac:dyDescent="0.25">
      <c r="A6" s="196">
        <v>4</v>
      </c>
      <c r="B6" s="197" t="s">
        <v>190</v>
      </c>
      <c r="C6" s="198">
        <v>37.200000000000003</v>
      </c>
      <c r="D6" s="199">
        <v>66.755674232309801</v>
      </c>
      <c r="E6" s="200">
        <v>0</v>
      </c>
      <c r="F6" s="201">
        <v>479.92833193786998</v>
      </c>
      <c r="G6" s="200">
        <v>12901.2992456417</v>
      </c>
      <c r="H6" s="200">
        <v>744</v>
      </c>
      <c r="I6" s="202">
        <v>3.07198194011522</v>
      </c>
      <c r="J6" s="202">
        <v>1474.33116826276</v>
      </c>
      <c r="K6" s="202">
        <v>0</v>
      </c>
      <c r="L6" s="202">
        <v>357.26585474517998</v>
      </c>
      <c r="M6" s="202">
        <v>268.13536800000003</v>
      </c>
      <c r="N6" s="202">
        <v>46.840498286633299</v>
      </c>
      <c r="O6" s="202">
        <f t="shared" si="0"/>
        <v>56.444419113116659</v>
      </c>
      <c r="P6" s="202">
        <f t="shared" si="1"/>
        <v>2099.7323910079399</v>
      </c>
    </row>
    <row r="7" spans="1:16" s="196" customFormat="1" x14ac:dyDescent="0.25">
      <c r="A7" s="196">
        <v>5</v>
      </c>
      <c r="B7" s="197" t="s">
        <v>191</v>
      </c>
      <c r="C7" s="198">
        <v>25.295999999999999</v>
      </c>
      <c r="D7" s="199">
        <v>72.340425531914903</v>
      </c>
      <c r="E7" s="200">
        <v>0</v>
      </c>
      <c r="F7" s="201">
        <v>335.19729600031002</v>
      </c>
      <c r="G7" s="200">
        <v>13251.0000000123</v>
      </c>
      <c r="H7" s="200">
        <v>744</v>
      </c>
      <c r="I7" s="202">
        <v>2.0139689567121</v>
      </c>
      <c r="J7" s="202">
        <v>675.07694851845997</v>
      </c>
      <c r="K7" s="202">
        <v>0</v>
      </c>
      <c r="L7" s="202">
        <v>377.62797441084001</v>
      </c>
      <c r="M7" s="202">
        <v>229.49138303999999</v>
      </c>
      <c r="N7" s="202">
        <v>35.759342645416702</v>
      </c>
      <c r="O7" s="202">
        <f t="shared" si="0"/>
        <v>50.687709755269609</v>
      </c>
      <c r="P7" s="202">
        <f t="shared" si="1"/>
        <v>1282.1963059693001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0.71350320450000004</v>
      </c>
      <c r="D10" s="199">
        <v>2.36792514436479</v>
      </c>
      <c r="E10" s="200">
        <v>3</v>
      </c>
      <c r="F10" s="201">
        <v>6.6729045523500004</v>
      </c>
      <c r="G10" s="200">
        <v>9352.3119591679406</v>
      </c>
      <c r="H10" s="200">
        <v>26</v>
      </c>
      <c r="I10" s="202">
        <v>3.6057692310024798</v>
      </c>
      <c r="J10" s="202">
        <v>24.060953916279999</v>
      </c>
      <c r="K10" s="202">
        <v>6.8250000000000002</v>
      </c>
      <c r="L10" s="202">
        <v>26.830516561749999</v>
      </c>
      <c r="M10" s="202">
        <v>1.83727075161</v>
      </c>
      <c r="N10" s="202">
        <v>36.2972787011498</v>
      </c>
      <c r="O10" s="202">
        <f t="shared" si="0"/>
        <v>83.466676609214858</v>
      </c>
      <c r="P10" s="202">
        <f t="shared" si="1"/>
        <v>59.553741229639996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4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225.62567305210999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225.62567305210999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0.56986937446999997</v>
      </c>
      <c r="D14" s="199">
        <v>4.1180293565007497</v>
      </c>
      <c r="E14" s="200">
        <v>2</v>
      </c>
      <c r="F14" s="201">
        <v>6.6998500304600004</v>
      </c>
      <c r="G14" s="200">
        <v>11756.817141983</v>
      </c>
      <c r="H14" s="200">
        <v>37</v>
      </c>
      <c r="I14" s="202">
        <v>3.5124423960015498</v>
      </c>
      <c r="J14" s="202">
        <v>23.53283729384</v>
      </c>
      <c r="K14" s="202">
        <v>7.5</v>
      </c>
      <c r="L14" s="202">
        <v>52.990345660240003</v>
      </c>
      <c r="M14" s="202">
        <v>1.08817525833</v>
      </c>
      <c r="N14" s="202">
        <v>43.204659971539002</v>
      </c>
      <c r="O14" s="202">
        <f t="shared" si="0"/>
        <v>149.35239903279023</v>
      </c>
      <c r="P14" s="202">
        <f t="shared" si="1"/>
        <v>85.111358212409996</v>
      </c>
    </row>
    <row r="15" spans="1:16" s="196" customFormat="1" x14ac:dyDescent="0.25">
      <c r="A15" s="196">
        <v>13</v>
      </c>
      <c r="B15" s="197" t="s">
        <v>199</v>
      </c>
      <c r="C15" s="198">
        <v>0.24616429979000001</v>
      </c>
      <c r="D15" s="199">
        <v>1.5317870108398099</v>
      </c>
      <c r="E15" s="200">
        <v>8</v>
      </c>
      <c r="F15" s="201">
        <v>3.8672696548699999</v>
      </c>
      <c r="G15" s="200">
        <v>15710.1157973318</v>
      </c>
      <c r="H15" s="200">
        <v>17</v>
      </c>
      <c r="I15" s="202">
        <v>3.39673913000038</v>
      </c>
      <c r="J15" s="202">
        <v>13.136106162960001</v>
      </c>
      <c r="K15" s="202">
        <v>0.96</v>
      </c>
      <c r="L15" s="202">
        <v>15.80235820271</v>
      </c>
      <c r="M15" s="202">
        <v>0.63387307194999998</v>
      </c>
      <c r="N15" s="202">
        <v>55.9381650655965</v>
      </c>
      <c r="O15" s="202">
        <f t="shared" si="0"/>
        <v>124.03235344713589</v>
      </c>
      <c r="P15" s="202">
        <f t="shared" si="1"/>
        <v>30.532337437620001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1.2647191448499999</v>
      </c>
      <c r="D17" s="196">
        <v>82.921527986493601</v>
      </c>
      <c r="E17" s="196">
        <v>0</v>
      </c>
      <c r="F17" s="196">
        <v>1.2647191440600001</v>
      </c>
      <c r="G17" s="196">
        <v>999.99999937535495</v>
      </c>
      <c r="H17" s="196">
        <v>744</v>
      </c>
      <c r="I17" s="196">
        <v>33.250000000051401</v>
      </c>
      <c r="J17" s="202">
        <v>42.051911540059997</v>
      </c>
      <c r="K17" s="202">
        <v>0</v>
      </c>
      <c r="L17" s="202">
        <v>0</v>
      </c>
      <c r="M17" s="202">
        <v>0</v>
      </c>
      <c r="N17" s="202">
        <v>33.249999979281903</v>
      </c>
      <c r="O17" s="202">
        <f t="shared" si="0"/>
        <v>33.249999979281959</v>
      </c>
      <c r="P17" s="202">
        <f t="shared" si="1"/>
        <v>42.051911540059997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s="196" customFormat="1" x14ac:dyDescent="0.25">
      <c r="A20" s="196">
        <v>18</v>
      </c>
      <c r="B20" s="197" t="s">
        <v>204</v>
      </c>
      <c r="C20" s="198">
        <v>-18.81817696221</v>
      </c>
      <c r="D20" s="196">
        <v>2.5293248605121001</v>
      </c>
      <c r="J20" s="202">
        <v>-482.12169377196</v>
      </c>
      <c r="K20" s="202"/>
      <c r="L20" s="202"/>
      <c r="M20" s="202"/>
      <c r="N20" s="202"/>
      <c r="O20" s="202">
        <f t="shared" si="0"/>
        <v>25.62000000000743</v>
      </c>
      <c r="P20" s="202">
        <f t="shared" si="1"/>
        <v>-482.12169377196</v>
      </c>
    </row>
    <row r="21" spans="1:16" s="196" customFormat="1" x14ac:dyDescent="0.25">
      <c r="A21" s="196">
        <v>19</v>
      </c>
      <c r="B21" s="197" t="s">
        <v>205</v>
      </c>
      <c r="C21" s="198">
        <v>54.344550914789998</v>
      </c>
      <c r="D21" s="196">
        <v>29.217500491822602</v>
      </c>
      <c r="E21" s="196">
        <v>4</v>
      </c>
      <c r="F21" s="196">
        <v>54.344550915729997</v>
      </c>
      <c r="G21" s="196">
        <v>1000.0000000173</v>
      </c>
      <c r="H21" s="196">
        <v>453</v>
      </c>
      <c r="I21" s="196">
        <v>25.6199999999996</v>
      </c>
      <c r="J21" s="202">
        <v>1392.30739446098</v>
      </c>
      <c r="K21" s="202">
        <v>0</v>
      </c>
      <c r="L21" s="202">
        <v>0</v>
      </c>
      <c r="M21" s="202">
        <v>0</v>
      </c>
      <c r="N21" s="202">
        <v>25.620000000442701</v>
      </c>
      <c r="O21" s="202">
        <f t="shared" si="0"/>
        <v>25.620000000442737</v>
      </c>
      <c r="P21" s="202">
        <f t="shared" si="1"/>
        <v>1392.30739446098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10.82876712319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10.191780821989999</v>
      </c>
      <c r="M23" s="202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x14ac:dyDescent="0.25">
      <c r="A24" s="196">
        <v>22</v>
      </c>
      <c r="B24" s="197" t="s">
        <v>208</v>
      </c>
      <c r="C24" s="198">
        <v>4.3218357000000003</v>
      </c>
      <c r="D24" s="196">
        <v>29.5920476393933</v>
      </c>
      <c r="E24" s="196">
        <v>494</v>
      </c>
      <c r="F24" s="196">
        <v>0</v>
      </c>
      <c r="G24" s="196">
        <v>0</v>
      </c>
      <c r="H24" s="196">
        <v>595</v>
      </c>
      <c r="I24" s="196">
        <v>0</v>
      </c>
      <c r="J24" s="203">
        <v>0</v>
      </c>
      <c r="K24" s="203">
        <v>0</v>
      </c>
      <c r="L24" s="203">
        <v>35.967207330119997</v>
      </c>
      <c r="M24" s="203">
        <v>0</v>
      </c>
      <c r="N24" s="202">
        <v>0</v>
      </c>
      <c r="O24" s="202">
        <f t="shared" si="0"/>
        <v>8.3222060778756575</v>
      </c>
      <c r="P24" s="202">
        <f t="shared" si="1"/>
        <v>35.967207330119997</v>
      </c>
    </row>
    <row r="25" spans="1:16" x14ac:dyDescent="0.25">
      <c r="A25" s="196">
        <v>23</v>
      </c>
      <c r="B25" s="197" t="s">
        <v>209</v>
      </c>
      <c r="C25" s="198">
        <v>5.0735999999999999</v>
      </c>
      <c r="D25" s="196">
        <v>22.580645161290299</v>
      </c>
      <c r="E25" s="196">
        <v>640</v>
      </c>
      <c r="F25" s="196">
        <v>0</v>
      </c>
      <c r="G25" s="196">
        <v>0</v>
      </c>
      <c r="H25" s="196">
        <v>605</v>
      </c>
      <c r="I25" s="196">
        <v>0</v>
      </c>
      <c r="J25" s="203">
        <v>0</v>
      </c>
      <c r="K25" s="203">
        <v>0</v>
      </c>
      <c r="L25" s="203">
        <v>52.166551660240003</v>
      </c>
      <c r="M25" s="203">
        <v>0</v>
      </c>
      <c r="N25" s="202">
        <v>0</v>
      </c>
      <c r="O25" s="202">
        <f t="shared" si="0"/>
        <v>10.281959882576475</v>
      </c>
      <c r="P25" s="202">
        <f t="shared" si="1"/>
        <v>52.166551660240003</v>
      </c>
    </row>
    <row r="26" spans="1:16" s="196" customFormat="1" x14ac:dyDescent="0.25">
      <c r="A26" s="196">
        <v>24</v>
      </c>
      <c r="B26" s="197" t="s">
        <v>210</v>
      </c>
      <c r="C26" s="198">
        <v>3.1248</v>
      </c>
      <c r="D26" s="196">
        <v>87.500000000000099</v>
      </c>
      <c r="E26" s="196">
        <v>0</v>
      </c>
      <c r="F26" s="196">
        <v>3.1248</v>
      </c>
      <c r="G26" s="196">
        <v>1000</v>
      </c>
      <c r="H26" s="196">
        <v>744</v>
      </c>
      <c r="I26" s="196">
        <v>7.77</v>
      </c>
      <c r="J26" s="202">
        <v>24.279696000000001</v>
      </c>
      <c r="K26" s="202">
        <v>0</v>
      </c>
      <c r="L26" s="202">
        <v>48.703520087649999</v>
      </c>
      <c r="M26" s="202">
        <v>0</v>
      </c>
      <c r="N26" s="202">
        <v>7.77</v>
      </c>
      <c r="O26" s="202">
        <f t="shared" si="0"/>
        <v>23.356123939980158</v>
      </c>
      <c r="P26" s="202">
        <f t="shared" si="1"/>
        <v>72.983216087649993</v>
      </c>
    </row>
    <row r="27" spans="1:16" s="196" customFormat="1" x14ac:dyDescent="0.25">
      <c r="A27" s="196">
        <v>25</v>
      </c>
      <c r="B27" s="197" t="s">
        <v>211</v>
      </c>
      <c r="C27" s="198">
        <v>33.244266000000003</v>
      </c>
      <c r="D27" s="199">
        <v>29.7887688172043</v>
      </c>
      <c r="E27" s="200">
        <v>1740</v>
      </c>
      <c r="F27" s="201">
        <v>0</v>
      </c>
      <c r="G27" s="200">
        <v>0</v>
      </c>
      <c r="H27" s="200">
        <v>652</v>
      </c>
      <c r="I27" s="202">
        <v>0</v>
      </c>
      <c r="J27" s="202">
        <v>0</v>
      </c>
      <c r="K27" s="202">
        <v>0</v>
      </c>
      <c r="L27" s="202">
        <v>268.73687671235001</v>
      </c>
      <c r="M27" s="202">
        <v>0</v>
      </c>
      <c r="N27" s="202">
        <v>0</v>
      </c>
      <c r="O27" s="202">
        <f t="shared" si="0"/>
        <v>8.0837061258127942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281.06599799994996</v>
      </c>
      <c r="D28" s="196"/>
      <c r="E28" s="196"/>
      <c r="F28" s="196"/>
      <c r="G28" s="196"/>
      <c r="H28" s="196"/>
      <c r="I28" s="196"/>
      <c r="J28" s="203">
        <f t="shared" ref="J28:P28" si="2">SUM(J3:J27)</f>
        <v>6202.2944316301891</v>
      </c>
      <c r="K28" s="203">
        <f t="shared" si="2"/>
        <v>17.285</v>
      </c>
      <c r="L28" s="203">
        <f t="shared" si="2"/>
        <v>2327.0408281382502</v>
      </c>
      <c r="M28" s="203">
        <f t="shared" si="2"/>
        <v>1053.1997297529501</v>
      </c>
      <c r="N28" s="202">
        <f>(J28+M28)/C28</f>
        <v>25.814200981309845</v>
      </c>
      <c r="O28" s="202">
        <f t="shared" si="0"/>
        <v>34.155038524165775</v>
      </c>
      <c r="P28" s="202">
        <f t="shared" si="2"/>
        <v>9599.8199895213911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f xml:space="preserve"> DAY("8/31/2020") * 24 - $C$42</f>
        <v>576</v>
      </c>
      <c r="D41" s="210">
        <f>IF($C$44=0,0,C41/$C$44)</f>
        <v>0.77419354838709675</v>
      </c>
      <c r="E41" s="234">
        <v>25.770700999322901</v>
      </c>
      <c r="F41" s="234"/>
    </row>
    <row r="42" spans="1:21" x14ac:dyDescent="0.25">
      <c r="A42" s="209">
        <v>2</v>
      </c>
      <c r="B42" s="204" t="s">
        <v>219</v>
      </c>
      <c r="C42" s="200">
        <f>NETWORKDAYS("8/1/2020", "8/31/2020") * 8</f>
        <v>168</v>
      </c>
      <c r="D42" s="210">
        <f>IF($C$44=0,0,C42/$C$44)</f>
        <v>0.22580645161290322</v>
      </c>
      <c r="E42" s="235">
        <v>28.6834252863095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v>0</v>
      </c>
      <c r="D43" s="213">
        <f>IF($C$44=0,0,C43/$C$44)</f>
        <v>0</v>
      </c>
      <c r="E43" s="236">
        <v>0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26.42841293509407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55.234318124760001</v>
      </c>
      <c r="D52" s="202">
        <v>1.7849191316666699</v>
      </c>
      <c r="E52" s="202">
        <v>1037.1116608142599</v>
      </c>
      <c r="F52" s="201">
        <v>581.04125975484999</v>
      </c>
      <c r="G52" s="202">
        <v>4.5255912996900003</v>
      </c>
      <c r="H52" s="202">
        <v>35150.711418926192</v>
      </c>
      <c r="I52" s="202">
        <f>IF(F52=0,0,J52/F52)</f>
        <v>1.7927078922991326</v>
      </c>
      <c r="J52" s="202">
        <f>$E52+$G52</f>
        <v>1041.6372521139499</v>
      </c>
    </row>
    <row r="53" spans="1:16" s="196" customFormat="1" x14ac:dyDescent="0.25">
      <c r="A53" s="196">
        <v>2</v>
      </c>
      <c r="B53" s="197" t="s">
        <v>230</v>
      </c>
      <c r="C53" s="198">
        <v>74.585069999999902</v>
      </c>
      <c r="D53" s="202">
        <v>1.9367654516666699</v>
      </c>
      <c r="E53" s="202">
        <v>1637.22134664692</v>
      </c>
      <c r="F53" s="201">
        <v>845.33795524451</v>
      </c>
      <c r="G53" s="202">
        <v>4.0026647387800001</v>
      </c>
      <c r="H53" s="202">
        <v>61256.373568442745</v>
      </c>
      <c r="I53" s="202">
        <f t="shared" ref="I53:I69" si="3">IF(F53=0,0,J53/F53)</f>
        <v>1.9415004392071613</v>
      </c>
      <c r="J53" s="202">
        <f t="shared" ref="J53:J69" si="4">$E53+$G53</f>
        <v>1641.2240113856999</v>
      </c>
    </row>
    <row r="54" spans="1:16" s="196" customFormat="1" x14ac:dyDescent="0.25">
      <c r="A54" s="196">
        <v>3</v>
      </c>
      <c r="B54" s="197" t="s">
        <v>231</v>
      </c>
      <c r="C54" s="198">
        <v>4.3401163240000002</v>
      </c>
      <c r="D54" s="202">
        <v>3.06753034458333</v>
      </c>
      <c r="E54" s="202">
        <v>270.77272096989998</v>
      </c>
      <c r="F54" s="201">
        <v>88.270592480389993</v>
      </c>
      <c r="G54" s="202">
        <v>11.296330881099999</v>
      </c>
      <c r="H54" s="202">
        <v>6287.0792364950148</v>
      </c>
      <c r="I54" s="202">
        <f t="shared" si="3"/>
        <v>3.1955042322126008</v>
      </c>
      <c r="J54" s="202">
        <f t="shared" si="4"/>
        <v>282.06905185099998</v>
      </c>
    </row>
    <row r="55" spans="1:16" s="196" customFormat="1" x14ac:dyDescent="0.25">
      <c r="A55" s="196">
        <v>4</v>
      </c>
      <c r="B55" s="197" t="s">
        <v>232</v>
      </c>
      <c r="C55" s="198">
        <v>37.166519999999998</v>
      </c>
      <c r="D55" s="202">
        <v>3.07179737458334</v>
      </c>
      <c r="E55" s="202">
        <v>1472.9157717144899</v>
      </c>
      <c r="F55" s="201">
        <v>479.49639643898001</v>
      </c>
      <c r="G55" s="202">
        <v>61.36301794549</v>
      </c>
      <c r="H55" s="202">
        <v>34152.164988531338</v>
      </c>
      <c r="I55" s="202">
        <f t="shared" si="3"/>
        <v>3.1997712622126655</v>
      </c>
      <c r="J55" s="202">
        <f t="shared" si="4"/>
        <v>1534.2787896599798</v>
      </c>
    </row>
    <row r="56" spans="1:16" s="196" customFormat="1" x14ac:dyDescent="0.25">
      <c r="A56" s="196">
        <v>5</v>
      </c>
      <c r="B56" s="197" t="s">
        <v>233</v>
      </c>
      <c r="C56" s="198">
        <v>25.227700800000001</v>
      </c>
      <c r="D56" s="202">
        <v>2.01333391208333</v>
      </c>
      <c r="E56" s="202">
        <v>673.04195030685901</v>
      </c>
      <c r="F56" s="201">
        <v>334.29226330110998</v>
      </c>
      <c r="G56" s="202">
        <v>15.81565522026</v>
      </c>
      <c r="H56" s="202">
        <v>25191.579751402413</v>
      </c>
      <c r="I56" s="202">
        <f t="shared" si="3"/>
        <v>2.0606447744997269</v>
      </c>
      <c r="J56" s="202">
        <f t="shared" si="4"/>
        <v>688.85760552711906</v>
      </c>
    </row>
    <row r="57" spans="1:16" s="196" customFormat="1" x14ac:dyDescent="0.25">
      <c r="A57" s="196">
        <v>6</v>
      </c>
      <c r="B57" s="197" t="s">
        <v>234</v>
      </c>
      <c r="C57" s="198">
        <v>3.3480000000000003E-2</v>
      </c>
      <c r="D57" s="202">
        <v>3.2768701629166701</v>
      </c>
      <c r="E57" s="202">
        <v>1.4153965482699999</v>
      </c>
      <c r="F57" s="201">
        <v>0.43193549888999999</v>
      </c>
      <c r="G57" s="202">
        <v>0</v>
      </c>
      <c r="H57" s="202">
        <v>387.73384101436267</v>
      </c>
      <c r="I57" s="202">
        <f t="shared" si="3"/>
        <v>3.2768701621129215</v>
      </c>
      <c r="J57" s="202">
        <f t="shared" si="4"/>
        <v>1.4153965482699999</v>
      </c>
    </row>
    <row r="58" spans="1:16" s="196" customFormat="1" x14ac:dyDescent="0.25">
      <c r="A58" s="196">
        <v>7</v>
      </c>
      <c r="B58" s="197" t="s">
        <v>235</v>
      </c>
      <c r="C58" s="198">
        <v>6.8299200000000004E-2</v>
      </c>
      <c r="D58" s="202">
        <v>2.2485355650000001</v>
      </c>
      <c r="E58" s="202">
        <v>2.0349982116000001</v>
      </c>
      <c r="F58" s="201">
        <v>0.90503269919999996</v>
      </c>
      <c r="G58" s="202">
        <v>0</v>
      </c>
      <c r="H58" s="202">
        <v>748.57956923076915</v>
      </c>
      <c r="I58" s="202">
        <f t="shared" si="3"/>
        <v>2.2485355649567453</v>
      </c>
      <c r="J58" s="202">
        <f t="shared" si="4"/>
        <v>2.0349982116000001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0.71350320450000004</v>
      </c>
      <c r="D61" s="202">
        <v>3.6057692308333298</v>
      </c>
      <c r="E61" s="202">
        <v>24.060953916279999</v>
      </c>
      <c r="F61" s="201">
        <v>6.6729045523500004</v>
      </c>
      <c r="G61" s="202">
        <v>0</v>
      </c>
      <c r="H61" s="202">
        <v>6022.4770328068589</v>
      </c>
      <c r="I61" s="202">
        <f t="shared" si="3"/>
        <v>3.6057692310024785</v>
      </c>
      <c r="J61" s="202">
        <f t="shared" si="4"/>
        <v>24.060953916279999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0.25843084876</v>
      </c>
      <c r="D64" s="202">
        <v>3.5124423958333399</v>
      </c>
      <c r="E64" s="202">
        <v>11.055839153959999</v>
      </c>
      <c r="F64" s="201">
        <v>3.1476214859899998</v>
      </c>
      <c r="G64" s="202">
        <v>0</v>
      </c>
      <c r="H64" s="202">
        <v>2825.5130035816869</v>
      </c>
      <c r="I64" s="202">
        <f t="shared" si="3"/>
        <v>3.5124423960026063</v>
      </c>
      <c r="J64" s="202">
        <f t="shared" si="4"/>
        <v>11.055839153959999</v>
      </c>
    </row>
    <row r="65" spans="1:21" s="196" customFormat="1" x14ac:dyDescent="0.25">
      <c r="A65" s="196">
        <v>14</v>
      </c>
      <c r="B65" s="197" t="s">
        <v>239</v>
      </c>
      <c r="C65" s="198">
        <v>0.31143852571000002</v>
      </c>
      <c r="D65" s="202">
        <v>3.5124423958333399</v>
      </c>
      <c r="E65" s="202">
        <v>12.47699813989</v>
      </c>
      <c r="F65" s="201">
        <v>3.5522285444800001</v>
      </c>
      <c r="G65" s="202">
        <v>0</v>
      </c>
      <c r="H65" s="202" t="e">
        <v>#N/A</v>
      </c>
      <c r="I65" s="202">
        <f t="shared" si="3"/>
        <v>3.5124423959935465</v>
      </c>
      <c r="J65" s="202">
        <f t="shared" si="4"/>
        <v>12.47699813989</v>
      </c>
    </row>
    <row r="66" spans="1:21" s="196" customFormat="1" x14ac:dyDescent="0.25">
      <c r="A66" s="196">
        <v>15</v>
      </c>
      <c r="B66" s="197" t="s">
        <v>240</v>
      </c>
      <c r="C66" s="198">
        <v>0.24616429979000001</v>
      </c>
      <c r="D66" s="202">
        <v>3.3967391299999998</v>
      </c>
      <c r="E66" s="202">
        <v>13.136106162960001</v>
      </c>
      <c r="F66" s="201">
        <v>3.8672696548699999</v>
      </c>
      <c r="G66" s="202">
        <v>0</v>
      </c>
      <c r="H66" s="202">
        <v>3567.5919325369</v>
      </c>
      <c r="I66" s="202">
        <f t="shared" si="3"/>
        <v>3.3967391300003822</v>
      </c>
      <c r="J66" s="202">
        <f t="shared" si="4"/>
        <v>13.136106162960001</v>
      </c>
    </row>
    <row r="67" spans="1:21" s="196" customFormat="1" x14ac:dyDescent="0.25">
      <c r="A67" s="196">
        <v>16</v>
      </c>
      <c r="B67" s="197" t="s">
        <v>241</v>
      </c>
      <c r="C67" s="198">
        <v>0.13843187500000001</v>
      </c>
      <c r="D67" s="202">
        <v>18.714285709999999</v>
      </c>
      <c r="E67" s="202">
        <v>27.252561765300001</v>
      </c>
      <c r="F67" s="201">
        <v>1.4562437587899999</v>
      </c>
      <c r="G67" s="202">
        <v>0</v>
      </c>
      <c r="H67" s="202">
        <v>10401.741134214284</v>
      </c>
      <c r="I67" s="202">
        <f t="shared" si="3"/>
        <v>18.714285709931069</v>
      </c>
      <c r="J67" s="202">
        <f t="shared" si="4"/>
        <v>27.252561765300001</v>
      </c>
    </row>
    <row r="68" spans="1:21" s="196" customFormat="1" x14ac:dyDescent="0.25">
      <c r="A68" s="196">
        <v>17</v>
      </c>
      <c r="B68" s="197" t="s">
        <v>242</v>
      </c>
      <c r="C68" s="198">
        <v>0.18693000000000001</v>
      </c>
      <c r="D68" s="202">
        <v>20.428571430000002</v>
      </c>
      <c r="E68" s="202">
        <v>43.280819050749997</v>
      </c>
      <c r="F68" s="201">
        <v>2.1186414918300001</v>
      </c>
      <c r="G68" s="202">
        <v>0</v>
      </c>
      <c r="H68" s="202">
        <v>15133.153513071429</v>
      </c>
      <c r="I68" s="202">
        <f t="shared" si="3"/>
        <v>20.428571430160044</v>
      </c>
      <c r="J68" s="202">
        <f t="shared" si="4"/>
        <v>43.280819050749997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8/1/2020&amp;CMontana-Dakota Utility Co.
Plexos V6.400
Plexos by Month - 2020 Operating Plan - Base Model - V-1 - Run 1&amp;RPage 15
8/21/2019
11:08:38 AM</oddHeader>
    <oddFooter>&amp;RPage 15
8/21/2019
11:08:38 AM&amp;C
Plexos V6.400
Plexos by Month - 2020 Operating Plan - Base Model - V-1 - Run 1&amp;L
Month Beginning: 8/1/2020</oddFooter>
    <evenHeader>&amp;L
Month Beginning: 8/1/2020&amp;CMontana-Dakota Utility Co.
Plexos V6.400
Plexos by Month - 2020 Operating Plan - Base Model - V-1 - Run 1&amp;RPage 16
8/21/2019
11:08:38 AM</evenHeader>
    <evenFooter>&amp;RPage 16
8/21/2019
11:08:38 AM&amp;C
Plexos V6.400
Plexos by Month - 2020 Operating Plan - Base Model - V-1 - Run 1&amp;L
Month Beginning: 8/1/2020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AD7D-AE6F-48D8-AB96-88B0C5188F93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59.919874999880001</v>
      </c>
      <c r="D3" s="199">
        <v>76.7023489501792</v>
      </c>
      <c r="E3" s="200">
        <v>1</v>
      </c>
      <c r="F3" s="201">
        <v>630.28555697707998</v>
      </c>
      <c r="G3" s="200">
        <v>10518.8062721817</v>
      </c>
      <c r="H3" s="200">
        <v>648</v>
      </c>
      <c r="I3" s="202">
        <v>1.8272425480955501</v>
      </c>
      <c r="J3" s="202">
        <v>1151.6845871586199</v>
      </c>
      <c r="K3" s="202">
        <v>0</v>
      </c>
      <c r="L3" s="202">
        <v>223.32323136989999</v>
      </c>
      <c r="M3" s="202">
        <v>274.58102959069998</v>
      </c>
      <c r="N3" s="202">
        <v>23.802880375704699</v>
      </c>
      <c r="O3" s="202">
        <f>IF(C3=0,0,IF(P3/C3&gt;9999,TEXT(P3/C3,"0.00E+00"),P3/C3))</f>
        <v>27.529911371185662</v>
      </c>
      <c r="P3" s="202">
        <f>SUM(J3:M3)</f>
        <v>1649.5888481192198</v>
      </c>
    </row>
    <row r="4" spans="1:16" s="196" customFormat="1" x14ac:dyDescent="0.25">
      <c r="A4" s="196">
        <v>2</v>
      </c>
      <c r="B4" s="196" t="s">
        <v>188</v>
      </c>
      <c r="C4" s="198">
        <v>57.723500000000001</v>
      </c>
      <c r="D4" s="199">
        <v>74.856701940035293</v>
      </c>
      <c r="E4" s="200">
        <v>2</v>
      </c>
      <c r="F4" s="201">
        <v>654.49434531472002</v>
      </c>
      <c r="G4" s="200">
        <v>11338.4383364612</v>
      </c>
      <c r="H4" s="200">
        <v>576</v>
      </c>
      <c r="I4" s="202">
        <v>1.9829949665495501</v>
      </c>
      <c r="J4" s="202">
        <v>1297.85899239423</v>
      </c>
      <c r="K4" s="202">
        <v>0</v>
      </c>
      <c r="L4" s="202">
        <v>328.3458889314</v>
      </c>
      <c r="M4" s="202">
        <v>209.87687364999999</v>
      </c>
      <c r="N4" s="202">
        <v>26.119966149734999</v>
      </c>
      <c r="O4" s="202">
        <f t="shared" ref="O4:O28" si="0">IF(C4=0,0,IF(P4/C4&gt;9999,TEXT(P4/C4,"0.00E+00"),P4/C4))</f>
        <v>31.808219442265798</v>
      </c>
      <c r="P4" s="202">
        <f t="shared" ref="P4:P27" si="1">SUM(J4:M4)</f>
        <v>1836.0817549756298</v>
      </c>
    </row>
    <row r="5" spans="1:16" s="196" customFormat="1" x14ac:dyDescent="0.25">
      <c r="A5" s="196">
        <v>3</v>
      </c>
      <c r="B5" s="197" t="s">
        <v>189</v>
      </c>
      <c r="C5" s="198">
        <v>5.04</v>
      </c>
      <c r="D5" s="199">
        <v>26.819923371647501</v>
      </c>
      <c r="E5" s="200">
        <v>0</v>
      </c>
      <c r="F5" s="201">
        <v>104.02190378820001</v>
      </c>
      <c r="G5" s="200">
        <v>20639.266624642802</v>
      </c>
      <c r="H5" s="200">
        <v>720</v>
      </c>
      <c r="I5" s="202">
        <v>3.0675303446051401</v>
      </c>
      <c r="J5" s="202">
        <v>319.09034637389999</v>
      </c>
      <c r="K5" s="202">
        <v>0</v>
      </c>
      <c r="L5" s="202">
        <v>190.05323523300001</v>
      </c>
      <c r="M5" s="202">
        <v>30.664418399999999</v>
      </c>
      <c r="N5" s="202">
        <v>69.395786661488103</v>
      </c>
      <c r="O5" s="202">
        <f t="shared" si="0"/>
        <v>107.10476190613095</v>
      </c>
      <c r="P5" s="202">
        <f t="shared" si="1"/>
        <v>539.80800000689999</v>
      </c>
    </row>
    <row r="6" spans="1:16" s="196" customFormat="1" x14ac:dyDescent="0.25">
      <c r="A6" s="196">
        <v>4</v>
      </c>
      <c r="B6" s="197" t="s">
        <v>190</v>
      </c>
      <c r="C6" s="198">
        <v>32.4</v>
      </c>
      <c r="D6" s="199">
        <v>60.080106809078799</v>
      </c>
      <c r="E6" s="200">
        <v>1</v>
      </c>
      <c r="F6" s="201">
        <v>418.00209555879002</v>
      </c>
      <c r="G6" s="200">
        <v>12901.2992456417</v>
      </c>
      <c r="H6" s="200">
        <v>648</v>
      </c>
      <c r="I6" s="202">
        <v>3.07198194011522</v>
      </c>
      <c r="J6" s="202">
        <v>1284.0948884869199</v>
      </c>
      <c r="K6" s="202">
        <v>3</v>
      </c>
      <c r="L6" s="202">
        <v>345.74114975340001</v>
      </c>
      <c r="M6" s="202">
        <v>233.53725600000001</v>
      </c>
      <c r="N6" s="202">
        <v>46.840498286633299</v>
      </c>
      <c r="O6" s="202">
        <f t="shared" si="0"/>
        <v>57.60411401976296</v>
      </c>
      <c r="P6" s="202">
        <f t="shared" si="1"/>
        <v>1866.3732942403199</v>
      </c>
    </row>
    <row r="7" spans="1:16" s="196" customFormat="1" x14ac:dyDescent="0.25">
      <c r="A7" s="196">
        <v>5</v>
      </c>
      <c r="B7" s="197" t="s">
        <v>191</v>
      </c>
      <c r="C7" s="198">
        <v>20.399999999999999</v>
      </c>
      <c r="D7" s="199">
        <v>60.2836879432624</v>
      </c>
      <c r="E7" s="200">
        <v>0</v>
      </c>
      <c r="F7" s="201">
        <v>270.32040000025</v>
      </c>
      <c r="G7" s="200">
        <v>13251.0000000123</v>
      </c>
      <c r="H7" s="200">
        <v>600</v>
      </c>
      <c r="I7" s="202">
        <v>2.0139689567121</v>
      </c>
      <c r="J7" s="202">
        <v>544.41689396649997</v>
      </c>
      <c r="K7" s="202">
        <v>0</v>
      </c>
      <c r="L7" s="202">
        <v>365.44642684920001</v>
      </c>
      <c r="M7" s="202">
        <v>185.07369600000001</v>
      </c>
      <c r="N7" s="202">
        <v>35.759342645416702</v>
      </c>
      <c r="O7" s="202">
        <f t="shared" si="0"/>
        <v>53.673383177240197</v>
      </c>
      <c r="P7" s="202">
        <f t="shared" si="1"/>
        <v>1094.9370168157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12.624647917800001</v>
      </c>
      <c r="M9" s="202">
        <v>0</v>
      </c>
      <c r="N9" s="202">
        <v>0</v>
      </c>
      <c r="O9" s="202">
        <f t="shared" si="0"/>
        <v>0</v>
      </c>
      <c r="P9" s="202">
        <f t="shared" si="1"/>
        <v>12.624647917800001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25.965016027499999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25.965016027499999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2.6591608767000001</v>
      </c>
      <c r="M11" s="202">
        <v>0</v>
      </c>
      <c r="N11" s="202">
        <v>0</v>
      </c>
      <c r="O11" s="202">
        <f t="shared" si="0"/>
        <v>0</v>
      </c>
      <c r="P11" s="202">
        <f t="shared" si="1"/>
        <v>2.6591608767000001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218.34742553429999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218.34742553429999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51.280979671200001</v>
      </c>
      <c r="M14" s="202">
        <v>0</v>
      </c>
      <c r="N14" s="202">
        <v>0</v>
      </c>
      <c r="O14" s="202">
        <f t="shared" si="0"/>
        <v>0</v>
      </c>
      <c r="P14" s="202">
        <f t="shared" si="1"/>
        <v>51.280979671200001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15.292604712299999</v>
      </c>
      <c r="M15" s="202">
        <v>0</v>
      </c>
      <c r="N15" s="202">
        <v>0</v>
      </c>
      <c r="O15" s="202">
        <f t="shared" si="0"/>
        <v>0</v>
      </c>
      <c r="P15" s="202">
        <f t="shared" si="1"/>
        <v>15.292604712299999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5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1.1431090055999999</v>
      </c>
      <c r="D17" s="196">
        <v>77.4464095934959</v>
      </c>
      <c r="E17" s="196">
        <v>0</v>
      </c>
      <c r="F17" s="196">
        <v>1.1431090035</v>
      </c>
      <c r="G17" s="196">
        <v>999.99999816290597</v>
      </c>
      <c r="H17" s="196">
        <v>720</v>
      </c>
      <c r="I17" s="196">
        <v>33.250000000056801</v>
      </c>
      <c r="J17" s="202">
        <v>38.008374366440002</v>
      </c>
      <c r="K17" s="202">
        <v>0</v>
      </c>
      <c r="L17" s="202">
        <v>0</v>
      </c>
      <c r="M17" s="202">
        <v>0</v>
      </c>
      <c r="N17" s="202">
        <v>33.249999938973502</v>
      </c>
      <c r="O17" s="202">
        <f t="shared" si="0"/>
        <v>33.249999938973453</v>
      </c>
      <c r="P17" s="202">
        <f t="shared" si="1"/>
        <v>38.008374366440002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5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16.458904109700001</v>
      </c>
      <c r="M18" s="202">
        <v>0</v>
      </c>
      <c r="N18" s="202">
        <v>0</v>
      </c>
      <c r="O18" s="202">
        <f t="shared" si="0"/>
        <v>0</v>
      </c>
      <c r="P18" s="202">
        <f t="shared" si="1"/>
        <v>16.458904109700001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5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43.602739725900001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43.602739725900001</v>
      </c>
    </row>
    <row r="20" spans="1:16" s="196" customFormat="1" x14ac:dyDescent="0.25">
      <c r="A20" s="196">
        <v>18</v>
      </c>
      <c r="B20" s="197" t="s">
        <v>204</v>
      </c>
      <c r="C20" s="198">
        <v>-11.31009725479</v>
      </c>
      <c r="D20" s="199">
        <v>1.57084684094306</v>
      </c>
      <c r="E20" s="200"/>
      <c r="F20" s="201"/>
      <c r="G20" s="200"/>
      <c r="H20" s="200"/>
      <c r="I20" s="202"/>
      <c r="J20" s="202">
        <v>-278.90699830258001</v>
      </c>
      <c r="K20" s="202"/>
      <c r="L20" s="202"/>
      <c r="M20" s="202"/>
      <c r="N20" s="202"/>
      <c r="O20" s="202">
        <f t="shared" si="0"/>
        <v>24.659999999952134</v>
      </c>
      <c r="P20" s="202">
        <f t="shared" si="1"/>
        <v>-278.90699830258001</v>
      </c>
    </row>
    <row r="21" spans="1:16" s="196" customFormat="1" x14ac:dyDescent="0.25">
      <c r="A21" s="196">
        <v>19</v>
      </c>
      <c r="B21" s="197" t="s">
        <v>205</v>
      </c>
      <c r="C21" s="198">
        <v>34.206315049239997</v>
      </c>
      <c r="D21" s="196">
        <v>19.003508360688901</v>
      </c>
      <c r="E21" s="196">
        <v>3</v>
      </c>
      <c r="F21" s="196">
        <v>34.206315050679997</v>
      </c>
      <c r="G21" s="196">
        <v>1000.0000000421001</v>
      </c>
      <c r="H21" s="196">
        <v>484</v>
      </c>
      <c r="I21" s="196">
        <v>24.660000000000299</v>
      </c>
      <c r="J21" s="202">
        <v>843.52772914978004</v>
      </c>
      <c r="K21" s="202">
        <v>0</v>
      </c>
      <c r="L21" s="202">
        <v>0</v>
      </c>
      <c r="M21" s="202">
        <v>0</v>
      </c>
      <c r="N21" s="202">
        <v>24.660000001038501</v>
      </c>
      <c r="O21" s="202">
        <f t="shared" si="0"/>
        <v>24.660000001038455</v>
      </c>
      <c r="P21" s="202">
        <f t="shared" si="1"/>
        <v>843.52772914978004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10.479452054699999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10.479452054699999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9.8630136986999908</v>
      </c>
      <c r="M23" s="202">
        <v>0</v>
      </c>
      <c r="N23" s="202">
        <v>0</v>
      </c>
      <c r="O23" s="202">
        <f t="shared" si="0"/>
        <v>0</v>
      </c>
      <c r="P23" s="202">
        <f t="shared" si="1"/>
        <v>9.8630136986999908</v>
      </c>
    </row>
    <row r="24" spans="1:16" s="196" customFormat="1" x14ac:dyDescent="0.25">
      <c r="A24" s="196">
        <v>22</v>
      </c>
      <c r="B24" s="197" t="s">
        <v>208</v>
      </c>
      <c r="C24" s="198">
        <v>3.7979682000000001</v>
      </c>
      <c r="D24" s="196">
        <v>26.871909492273701</v>
      </c>
      <c r="E24" s="196">
        <v>312</v>
      </c>
      <c r="F24" s="196">
        <v>0</v>
      </c>
      <c r="G24" s="196">
        <v>0</v>
      </c>
      <c r="H24" s="196">
        <v>594</v>
      </c>
      <c r="I24" s="196">
        <v>0</v>
      </c>
      <c r="J24" s="202">
        <v>0</v>
      </c>
      <c r="K24" s="202">
        <v>0</v>
      </c>
      <c r="L24" s="202">
        <v>34.806974835600002</v>
      </c>
      <c r="M24" s="202">
        <v>0</v>
      </c>
      <c r="N24" s="202">
        <v>0</v>
      </c>
      <c r="O24" s="202">
        <f t="shared" si="0"/>
        <v>9.1646304030665657</v>
      </c>
      <c r="P24" s="202">
        <f t="shared" si="1"/>
        <v>34.806974835600002</v>
      </c>
    </row>
    <row r="25" spans="1:16" x14ac:dyDescent="0.25">
      <c r="A25" s="196">
        <v>23</v>
      </c>
      <c r="B25" s="197" t="s">
        <v>209</v>
      </c>
      <c r="C25" s="198">
        <v>5.6173000000000002</v>
      </c>
      <c r="D25" s="196">
        <v>25.833793230316399</v>
      </c>
      <c r="E25" s="196">
        <v>460</v>
      </c>
      <c r="F25" s="196">
        <v>0</v>
      </c>
      <c r="G25" s="196">
        <v>0</v>
      </c>
      <c r="H25" s="196">
        <v>613</v>
      </c>
      <c r="I25" s="196">
        <v>0</v>
      </c>
      <c r="J25" s="203">
        <v>0</v>
      </c>
      <c r="K25" s="203">
        <v>0</v>
      </c>
      <c r="L25" s="203">
        <v>50.483759671199998</v>
      </c>
      <c r="M25" s="203">
        <v>0</v>
      </c>
      <c r="N25" s="202">
        <v>0</v>
      </c>
      <c r="O25" s="202">
        <f t="shared" si="0"/>
        <v>8.9871930769586807</v>
      </c>
      <c r="P25" s="202">
        <f t="shared" si="1"/>
        <v>50.483759671199998</v>
      </c>
    </row>
    <row r="26" spans="1:16" x14ac:dyDescent="0.25">
      <c r="A26" s="196">
        <v>24</v>
      </c>
      <c r="B26" s="197" t="s">
        <v>210</v>
      </c>
      <c r="C26" s="198">
        <v>3.024</v>
      </c>
      <c r="D26" s="196">
        <v>87.500000000000099</v>
      </c>
      <c r="E26" s="196">
        <v>0</v>
      </c>
      <c r="F26" s="196">
        <v>3.024</v>
      </c>
      <c r="G26" s="196">
        <v>1000</v>
      </c>
      <c r="H26" s="196">
        <v>720</v>
      </c>
      <c r="I26" s="196">
        <v>7.77</v>
      </c>
      <c r="J26" s="203">
        <v>23.496479999999998</v>
      </c>
      <c r="K26" s="203">
        <v>0</v>
      </c>
      <c r="L26" s="203">
        <v>47.132438794499997</v>
      </c>
      <c r="M26" s="203">
        <v>0</v>
      </c>
      <c r="N26" s="202">
        <v>7.77</v>
      </c>
      <c r="O26" s="202">
        <f t="shared" si="0"/>
        <v>23.356123939980158</v>
      </c>
      <c r="P26" s="202">
        <f t="shared" si="1"/>
        <v>70.628918794499995</v>
      </c>
    </row>
    <row r="27" spans="1:16" s="196" customFormat="1" x14ac:dyDescent="0.25">
      <c r="A27" s="196">
        <v>25</v>
      </c>
      <c r="B27" s="197" t="s">
        <v>211</v>
      </c>
      <c r="C27" s="198">
        <v>41.153033999999998</v>
      </c>
      <c r="D27" s="196">
        <v>38.104661111111099</v>
      </c>
      <c r="E27" s="196">
        <v>960</v>
      </c>
      <c r="F27" s="196">
        <v>0</v>
      </c>
      <c r="G27" s="196">
        <v>0</v>
      </c>
      <c r="H27" s="196">
        <v>655</v>
      </c>
      <c r="I27" s="196">
        <v>0</v>
      </c>
      <c r="J27" s="202">
        <v>0</v>
      </c>
      <c r="K27" s="202">
        <v>0</v>
      </c>
      <c r="L27" s="202">
        <v>260.0679452055</v>
      </c>
      <c r="M27" s="202">
        <v>0</v>
      </c>
      <c r="N27" s="202">
        <v>0</v>
      </c>
      <c r="O27" s="202">
        <f t="shared" si="0"/>
        <v>6.3195327276598858</v>
      </c>
      <c r="P27" s="202">
        <f t="shared" si="1"/>
        <v>260.0679452055</v>
      </c>
    </row>
    <row r="28" spans="1:16" x14ac:dyDescent="0.25">
      <c r="B28" s="197" t="s">
        <v>212</v>
      </c>
      <c r="C28" s="198">
        <f>SUM(C3:C27)</f>
        <v>253.11500399993</v>
      </c>
      <c r="D28" s="196"/>
      <c r="E28" s="196"/>
      <c r="F28" s="196"/>
      <c r="G28" s="196"/>
      <c r="H28" s="196"/>
      <c r="I28" s="196"/>
      <c r="J28" s="203">
        <f t="shared" ref="J28:P28" si="2">SUM(J3:J27)</f>
        <v>5223.2712935938089</v>
      </c>
      <c r="K28" s="203">
        <f t="shared" si="2"/>
        <v>3</v>
      </c>
      <c r="L28" s="203">
        <f t="shared" si="2"/>
        <v>2251.9749949724996</v>
      </c>
      <c r="M28" s="203">
        <f t="shared" si="2"/>
        <v>933.73327364070008</v>
      </c>
      <c r="N28" s="202">
        <f>(J28+M28)/C28</f>
        <v>24.324929261152022</v>
      </c>
      <c r="O28" s="202">
        <f t="shared" si="0"/>
        <v>33.233824266732668</v>
      </c>
      <c r="P28" s="202">
        <f t="shared" si="2"/>
        <v>8411.9795622070105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f xml:space="preserve"> DAY("9/30/2020") * 24 - $C$42</f>
        <v>544</v>
      </c>
      <c r="D41" s="210">
        <f>IF($C$44=0,0,C41/$C$44)</f>
        <v>0.75555555555555554</v>
      </c>
      <c r="E41" s="234">
        <v>24.6512224264706</v>
      </c>
      <c r="F41" s="234"/>
    </row>
    <row r="42" spans="1:21" x14ac:dyDescent="0.25">
      <c r="A42" s="209">
        <v>2</v>
      </c>
      <c r="B42" s="204" t="s">
        <v>219</v>
      </c>
      <c r="C42" s="200">
        <f>NETWORKDAYS("9/1/2020", "9/30/2020") * 8</f>
        <v>176</v>
      </c>
      <c r="D42" s="210">
        <f>IF($C$44=0,0,C42/$C$44)</f>
        <v>0.24444444444444444</v>
      </c>
      <c r="E42" s="235">
        <v>24.6536079545455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v>0</v>
      </c>
      <c r="D43" s="213">
        <f>IF($C$44=0,0,C43/$C$44)</f>
        <v>0</v>
      </c>
      <c r="E43" s="236">
        <v>0</v>
      </c>
      <c r="F43" s="236"/>
    </row>
    <row r="44" spans="1:21" x14ac:dyDescent="0.25">
      <c r="A44" s="214"/>
      <c r="B44" s="204" t="s">
        <v>212</v>
      </c>
      <c r="C44" s="200">
        <f>SUM(C41:C43)</f>
        <v>720</v>
      </c>
      <c r="D44" s="215">
        <f>SUM(D41:D43)</f>
        <v>1</v>
      </c>
      <c r="E44" s="237">
        <f>E41*D41+E42*D42+E43*D43</f>
        <v>24.651805555555576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59.770075312380001</v>
      </c>
      <c r="D52" s="202">
        <v>1.7849191316666699</v>
      </c>
      <c r="E52" s="202">
        <v>1122.1962271782199</v>
      </c>
      <c r="F52" s="201">
        <v>628.70984308463005</v>
      </c>
      <c r="G52" s="202">
        <v>4.8968704857400001</v>
      </c>
      <c r="H52" s="202">
        <v>38034.473265857836</v>
      </c>
      <c r="I52" s="202">
        <f>IF(F52=0,0,J52/F52)</f>
        <v>1.7927078922991238</v>
      </c>
      <c r="J52" s="202">
        <f>$E52+$G52</f>
        <v>1127.09309766396</v>
      </c>
    </row>
    <row r="53" spans="1:16" s="196" customFormat="1" x14ac:dyDescent="0.25">
      <c r="A53" s="196">
        <v>2</v>
      </c>
      <c r="B53" s="197" t="s">
        <v>230</v>
      </c>
      <c r="C53" s="198">
        <v>57.579191250000001</v>
      </c>
      <c r="D53" s="202">
        <v>1.9367654516666699</v>
      </c>
      <c r="E53" s="202">
        <v>1264.4330311848901</v>
      </c>
      <c r="F53" s="201">
        <v>652.85810945143999</v>
      </c>
      <c r="G53" s="202">
        <v>3.0912750550400001</v>
      </c>
      <c r="H53" s="202">
        <v>47308.558655901441</v>
      </c>
      <c r="I53" s="202">
        <f t="shared" ref="I53:I69" si="3">IF(F53=0,0,J53/F53)</f>
        <v>1.9415004392071646</v>
      </c>
      <c r="J53" s="202">
        <f t="shared" ref="J53:J69" si="4">$E53+$G53</f>
        <v>1267.52430623993</v>
      </c>
    </row>
    <row r="54" spans="1:16" s="196" customFormat="1" x14ac:dyDescent="0.25">
      <c r="A54" s="196">
        <v>3</v>
      </c>
      <c r="B54" s="197" t="s">
        <v>231</v>
      </c>
      <c r="C54" s="198">
        <v>5.04</v>
      </c>
      <c r="D54" s="202">
        <v>3.06753034458333</v>
      </c>
      <c r="E54" s="202">
        <v>319.09034637389999</v>
      </c>
      <c r="F54" s="201">
        <v>104.02190378820001</v>
      </c>
      <c r="G54" s="202">
        <v>13.3120874241</v>
      </c>
      <c r="H54" s="202">
        <v>7408.9675062820525</v>
      </c>
      <c r="I54" s="202">
        <f t="shared" si="3"/>
        <v>3.195504232212552</v>
      </c>
      <c r="J54" s="202">
        <f t="shared" si="4"/>
        <v>332.402433798</v>
      </c>
    </row>
    <row r="55" spans="1:16" s="196" customFormat="1" x14ac:dyDescent="0.25">
      <c r="A55" s="196">
        <v>4</v>
      </c>
      <c r="B55" s="197" t="s">
        <v>232</v>
      </c>
      <c r="C55" s="198">
        <v>32.370840000000001</v>
      </c>
      <c r="D55" s="202">
        <v>3.07179737458334</v>
      </c>
      <c r="E55" s="202">
        <v>1282.8621237513401</v>
      </c>
      <c r="F55" s="201">
        <v>417.62589367266997</v>
      </c>
      <c r="G55" s="202">
        <v>53.445209178330003</v>
      </c>
      <c r="H55" s="202">
        <v>29745.434022269939</v>
      </c>
      <c r="I55" s="202">
        <f t="shared" si="3"/>
        <v>3.199771262212614</v>
      </c>
      <c r="J55" s="202">
        <f t="shared" si="4"/>
        <v>1336.3073329296701</v>
      </c>
    </row>
    <row r="56" spans="1:16" s="196" customFormat="1" x14ac:dyDescent="0.25">
      <c r="A56" s="196">
        <v>5</v>
      </c>
      <c r="B56" s="197" t="s">
        <v>233</v>
      </c>
      <c r="C56" s="198">
        <v>20.344919999999998</v>
      </c>
      <c r="D56" s="202">
        <v>2.01333391208333</v>
      </c>
      <c r="E56" s="202">
        <v>542.77576637649997</v>
      </c>
      <c r="F56" s="201">
        <v>269.59053492024998</v>
      </c>
      <c r="G56" s="202">
        <v>12.754560661499999</v>
      </c>
      <c r="H56" s="202">
        <v>20315.790122098719</v>
      </c>
      <c r="I56" s="202">
        <f t="shared" si="3"/>
        <v>2.0606447744997296</v>
      </c>
      <c r="J56" s="202">
        <f t="shared" si="4"/>
        <v>555.530327038</v>
      </c>
    </row>
    <row r="57" spans="1:16" s="196" customFormat="1" x14ac:dyDescent="0.25">
      <c r="A57" s="196">
        <v>6</v>
      </c>
      <c r="B57" s="197" t="s">
        <v>234</v>
      </c>
      <c r="C57" s="198">
        <v>2.9159999999999998E-2</v>
      </c>
      <c r="D57" s="202">
        <v>3.2768701629166701</v>
      </c>
      <c r="E57" s="202">
        <v>1.23276473559</v>
      </c>
      <c r="F57" s="201">
        <v>0.37620188613</v>
      </c>
      <c r="G57" s="202">
        <v>0</v>
      </c>
      <c r="H57" s="202">
        <v>337.70366798025128</v>
      </c>
      <c r="I57" s="202">
        <f t="shared" si="3"/>
        <v>3.2768701621129215</v>
      </c>
      <c r="J57" s="202">
        <f t="shared" si="4"/>
        <v>1.23276473559</v>
      </c>
    </row>
    <row r="58" spans="1:16" s="196" customFormat="1" x14ac:dyDescent="0.25">
      <c r="A58" s="196">
        <v>7</v>
      </c>
      <c r="B58" s="197" t="s">
        <v>235</v>
      </c>
      <c r="C58" s="198">
        <v>5.5079999999999997E-2</v>
      </c>
      <c r="D58" s="202">
        <v>2.2485355650000001</v>
      </c>
      <c r="E58" s="202">
        <v>1.64112759</v>
      </c>
      <c r="F58" s="201">
        <v>0.72986508000000005</v>
      </c>
      <c r="G58" s="202">
        <v>0</v>
      </c>
      <c r="H58" s="202">
        <v>603.69320099255583</v>
      </c>
      <c r="I58" s="202">
        <f t="shared" si="3"/>
        <v>2.2485355649567449</v>
      </c>
      <c r="J58" s="202">
        <f t="shared" si="4"/>
        <v>1.64112759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0.1497996875</v>
      </c>
      <c r="D67" s="202">
        <v>18.714285709999999</v>
      </c>
      <c r="E67" s="202">
        <v>29.488359980399999</v>
      </c>
      <c r="F67" s="201">
        <v>1.57571389245</v>
      </c>
      <c r="G67" s="202">
        <v>0</v>
      </c>
      <c r="H67" s="202">
        <v>11255.099231785713</v>
      </c>
      <c r="I67" s="202">
        <f t="shared" si="3"/>
        <v>18.714285709920343</v>
      </c>
      <c r="J67" s="202">
        <f t="shared" si="4"/>
        <v>29.488359980399999</v>
      </c>
    </row>
    <row r="68" spans="1:21" s="196" customFormat="1" x14ac:dyDescent="0.25">
      <c r="A68" s="196">
        <v>17</v>
      </c>
      <c r="B68" s="197" t="s">
        <v>242</v>
      </c>
      <c r="C68" s="198">
        <v>0.14430875000000001</v>
      </c>
      <c r="D68" s="202">
        <v>20.428571430000002</v>
      </c>
      <c r="E68" s="202">
        <v>33.42596120956</v>
      </c>
      <c r="F68" s="201">
        <v>1.63623586328</v>
      </c>
      <c r="G68" s="202">
        <v>0</v>
      </c>
      <c r="H68" s="202">
        <v>11687.39902342857</v>
      </c>
      <c r="I68" s="202">
        <f t="shared" si="3"/>
        <v>20.428571430132504</v>
      </c>
      <c r="J68" s="202">
        <f t="shared" si="4"/>
        <v>33.42596120956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9/1/2020&amp;CMontana-Dakota Utility Co.
Plexos V6.400
Plexos by Month - 2020 Operating Plan - Base Model - V-1 - Run 1&amp;RPage 17
8/21/2019
11:08:38 AM</oddHeader>
    <oddFooter>&amp;RPage 17
8/21/2019
11:08:38 AM&amp;C
Plexos V6.400
Plexos by Month - 2020 Operating Plan - Base Model - V-1 - Run 1&amp;L
Month Beginning: 9/1/2020</oddFooter>
    <evenHeader>&amp;L
Month Beginning: 9/1/2020&amp;CMontana-Dakota Utility Co.
Plexos V6.400
Plexos by Month - 2020 Operating Plan - Base Model - V-1 - Run 1&amp;RPage 18
8/21/2019
11:08:38 AM</evenHeader>
    <evenFooter>&amp;RPage 18
8/21/2019
11:08:38 AM&amp;C
Plexos V6.400
Plexos by Month - 2020 Operating Plan - Base Model - V-1 - Run 1&amp;L
Month Beginning: 9/1/2020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1DDE-C454-4670-ABFF-EF785ECBEBC9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17.682874999879999</v>
      </c>
      <c r="D3" s="199">
        <v>21.905350329369199</v>
      </c>
      <c r="E3" s="200">
        <v>1</v>
      </c>
      <c r="F3" s="201">
        <v>186.03043289536001</v>
      </c>
      <c r="G3" s="200">
        <v>10520.372558004399</v>
      </c>
      <c r="H3" s="200">
        <v>192</v>
      </c>
      <c r="I3" s="202">
        <v>1.8272425480955199</v>
      </c>
      <c r="J3" s="202">
        <v>339.92272222703002</v>
      </c>
      <c r="K3" s="202">
        <v>0</v>
      </c>
      <c r="L3" s="202">
        <v>230.76733908223</v>
      </c>
      <c r="M3" s="202">
        <v>81.031244200700002</v>
      </c>
      <c r="N3" s="202">
        <v>23.805742359802199</v>
      </c>
      <c r="O3" s="202">
        <f>IF(C3=0,0,IF(P3/C3&gt;9999,TEXT(P3/C3,"0.00E+00"),P3/C3))</f>
        <v>36.856071510678149</v>
      </c>
      <c r="P3" s="202">
        <f>SUM(J3:M3)</f>
        <v>651.72130550996008</v>
      </c>
    </row>
    <row r="4" spans="1:16" s="196" customFormat="1" x14ac:dyDescent="0.25">
      <c r="A4" s="196">
        <v>2</v>
      </c>
      <c r="B4" s="196" t="s">
        <v>188</v>
      </c>
      <c r="C4" s="198">
        <v>74.772000000000006</v>
      </c>
      <c r="D4" s="199">
        <v>93.837535014005596</v>
      </c>
      <c r="E4" s="200">
        <v>0</v>
      </c>
      <c r="F4" s="201">
        <v>847.45659673633997</v>
      </c>
      <c r="G4" s="200">
        <v>11333.876273689901</v>
      </c>
      <c r="H4" s="200">
        <v>744</v>
      </c>
      <c r="I4" s="202">
        <v>1.9829949665495299</v>
      </c>
      <c r="J4" s="202">
        <v>1680.5021656973599</v>
      </c>
      <c r="K4" s="202">
        <v>0</v>
      </c>
      <c r="L4" s="202">
        <v>339.29075189577998</v>
      </c>
      <c r="M4" s="202">
        <v>271.86351480000002</v>
      </c>
      <c r="N4" s="202">
        <v>26.1109196022222</v>
      </c>
      <c r="O4" s="202">
        <f t="shared" ref="O4:O28" si="0">IF(C4=0,0,IF(P4/C4&gt;9999,TEXT(P4/C4,"0.00E+00"),P4/C4))</f>
        <v>30.648590814651737</v>
      </c>
      <c r="P4" s="202">
        <f t="shared" ref="P4:P27" si="1">SUM(J4:M4)</f>
        <v>2291.6564323931398</v>
      </c>
    </row>
    <row r="5" spans="1:16" s="196" customFormat="1" x14ac:dyDescent="0.25">
      <c r="A5" s="196">
        <v>3</v>
      </c>
      <c r="B5" s="197" t="s">
        <v>189</v>
      </c>
      <c r="C5" s="198">
        <v>4.032</v>
      </c>
      <c r="D5" s="199">
        <v>20.763811642565798</v>
      </c>
      <c r="E5" s="200">
        <v>1</v>
      </c>
      <c r="F5" s="201">
        <v>83.217523030560002</v>
      </c>
      <c r="G5" s="200">
        <v>20639.2666246429</v>
      </c>
      <c r="H5" s="200">
        <v>576</v>
      </c>
      <c r="I5" s="202">
        <v>3.0675303446051401</v>
      </c>
      <c r="J5" s="202">
        <v>255.27227709912</v>
      </c>
      <c r="K5" s="202">
        <v>1</v>
      </c>
      <c r="L5" s="202">
        <v>196.38834307409999</v>
      </c>
      <c r="M5" s="202">
        <v>24.53153472</v>
      </c>
      <c r="N5" s="202">
        <v>69.395786661488103</v>
      </c>
      <c r="O5" s="202">
        <f t="shared" si="0"/>
        <v>118.35122889216765</v>
      </c>
      <c r="P5" s="202">
        <f t="shared" si="1"/>
        <v>477.19215489321999</v>
      </c>
    </row>
    <row r="6" spans="1:16" s="196" customFormat="1" x14ac:dyDescent="0.25">
      <c r="A6" s="196">
        <v>4</v>
      </c>
      <c r="B6" s="197" t="s">
        <v>190</v>
      </c>
      <c r="C6" s="198">
        <v>24</v>
      </c>
      <c r="D6" s="199">
        <v>43.068176924070798</v>
      </c>
      <c r="E6" s="200">
        <v>1</v>
      </c>
      <c r="F6" s="201">
        <v>309.6311818954</v>
      </c>
      <c r="G6" s="200">
        <v>12901.2992456417</v>
      </c>
      <c r="H6" s="200">
        <v>480</v>
      </c>
      <c r="I6" s="202">
        <v>3.07198194011522</v>
      </c>
      <c r="J6" s="202">
        <v>951.18139887919995</v>
      </c>
      <c r="K6" s="202">
        <v>3</v>
      </c>
      <c r="L6" s="202">
        <v>357.26585474517998</v>
      </c>
      <c r="M6" s="202">
        <v>172.99055999999999</v>
      </c>
      <c r="N6" s="202">
        <v>46.840498286633299</v>
      </c>
      <c r="O6" s="202">
        <f t="shared" si="0"/>
        <v>61.851575567682495</v>
      </c>
      <c r="P6" s="202">
        <f t="shared" si="1"/>
        <v>1484.4378136243799</v>
      </c>
    </row>
    <row r="7" spans="1:16" s="196" customFormat="1" x14ac:dyDescent="0.25">
      <c r="A7" s="196">
        <v>5</v>
      </c>
      <c r="B7" s="197" t="s">
        <v>191</v>
      </c>
      <c r="C7" s="198">
        <v>18.768000000000001</v>
      </c>
      <c r="D7" s="199">
        <v>53.671928620453002</v>
      </c>
      <c r="E7" s="200">
        <v>2</v>
      </c>
      <c r="F7" s="201">
        <v>248.69476800023</v>
      </c>
      <c r="G7" s="200">
        <v>13251.0000000123</v>
      </c>
      <c r="H7" s="200">
        <v>552</v>
      </c>
      <c r="I7" s="202">
        <v>2.0139689567121</v>
      </c>
      <c r="J7" s="202">
        <v>500.86354244917999</v>
      </c>
      <c r="K7" s="202">
        <v>6</v>
      </c>
      <c r="L7" s="202">
        <v>377.62797441084001</v>
      </c>
      <c r="M7" s="202">
        <v>170.26780031999999</v>
      </c>
      <c r="N7" s="202">
        <v>35.759342645416702</v>
      </c>
      <c r="O7" s="202">
        <f t="shared" si="0"/>
        <v>56.199878366369347</v>
      </c>
      <c r="P7" s="202">
        <f t="shared" si="1"/>
        <v>1054.7593171800199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26.830516561749999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26.830516561749999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225.62567305210999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225.62567305210999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0.15251665153999999</v>
      </c>
      <c r="D14" s="199">
        <v>1.1021263407619399</v>
      </c>
      <c r="E14" s="200">
        <v>1</v>
      </c>
      <c r="F14" s="201">
        <v>1.8470936213</v>
      </c>
      <c r="G14" s="200">
        <v>12110.766940195799</v>
      </c>
      <c r="H14" s="200">
        <v>11</v>
      </c>
      <c r="I14" s="202">
        <v>3.5124423959917199</v>
      </c>
      <c r="J14" s="202">
        <v>6.4878099448200004</v>
      </c>
      <c r="K14" s="202">
        <v>3.75</v>
      </c>
      <c r="L14" s="202">
        <v>52.990345660240003</v>
      </c>
      <c r="M14" s="202">
        <v>0.29123313890000002</v>
      </c>
      <c r="N14" s="202">
        <v>44.447888248727303</v>
      </c>
      <c r="O14" s="202">
        <f t="shared" si="0"/>
        <v>416.47510683317751</v>
      </c>
      <c r="P14" s="202">
        <f t="shared" si="1"/>
        <v>63.51938874396</v>
      </c>
    </row>
    <row r="15" spans="1:16" s="196" customFormat="1" x14ac:dyDescent="0.25">
      <c r="A15" s="196">
        <v>13</v>
      </c>
      <c r="B15" s="197" t="s">
        <v>199</v>
      </c>
      <c r="C15" s="198">
        <v>2.4345256589999999E-2</v>
      </c>
      <c r="D15" s="199">
        <v>0.15149129200268799</v>
      </c>
      <c r="E15" s="200">
        <v>1</v>
      </c>
      <c r="F15" s="201">
        <v>0.40394666544000002</v>
      </c>
      <c r="G15" s="200">
        <v>16592.4176624174</v>
      </c>
      <c r="H15" s="200">
        <v>2</v>
      </c>
      <c r="I15" s="202">
        <v>3.3967391300171599</v>
      </c>
      <c r="J15" s="202">
        <v>1.37210144494</v>
      </c>
      <c r="K15" s="202">
        <v>0.12</v>
      </c>
      <c r="L15" s="202">
        <v>15.80235820271</v>
      </c>
      <c r="M15" s="202">
        <v>6.2689035719999994E-2</v>
      </c>
      <c r="N15" s="202">
        <v>58.935114335552001</v>
      </c>
      <c r="O15" s="202">
        <f t="shared" si="0"/>
        <v>712.95813289967873</v>
      </c>
      <c r="P15" s="202">
        <f t="shared" si="1"/>
        <v>17.357148683369999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1.0965420000999999</v>
      </c>
      <c r="D17" s="196">
        <v>71.894964601363696</v>
      </c>
      <c r="E17" s="196">
        <v>0</v>
      </c>
      <c r="F17" s="196">
        <v>1.09654199901</v>
      </c>
      <c r="G17" s="196">
        <v>999.99999900596504</v>
      </c>
      <c r="H17" s="196">
        <v>744</v>
      </c>
      <c r="I17" s="196">
        <v>33.250000000061597</v>
      </c>
      <c r="J17" s="202">
        <v>36.46002146715</v>
      </c>
      <c r="K17" s="202">
        <v>0</v>
      </c>
      <c r="L17" s="202">
        <v>0</v>
      </c>
      <c r="M17" s="202">
        <v>0</v>
      </c>
      <c r="N17" s="202">
        <v>33.249999967009899</v>
      </c>
      <c r="O17" s="202">
        <f t="shared" si="0"/>
        <v>33.249999967009927</v>
      </c>
      <c r="P17" s="202">
        <f t="shared" si="1"/>
        <v>36.46002146715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s="196" customFormat="1" x14ac:dyDescent="0.25">
      <c r="A20" s="196">
        <v>18</v>
      </c>
      <c r="B20" s="197" t="s">
        <v>204</v>
      </c>
      <c r="C20" s="198">
        <v>-16.361145792950001</v>
      </c>
      <c r="D20" s="196">
        <v>2.1990787356115602</v>
      </c>
      <c r="J20" s="202">
        <v>-401.66612921663</v>
      </c>
      <c r="K20" s="202"/>
      <c r="L20" s="202"/>
      <c r="M20" s="202"/>
      <c r="N20" s="202"/>
      <c r="O20" s="202">
        <f t="shared" si="0"/>
        <v>24.54999999998212</v>
      </c>
      <c r="P20" s="202">
        <f t="shared" si="1"/>
        <v>-401.66612921663</v>
      </c>
    </row>
    <row r="21" spans="1:16" s="196" customFormat="1" x14ac:dyDescent="0.25">
      <c r="A21" s="196">
        <v>19</v>
      </c>
      <c r="B21" s="197" t="s">
        <v>205</v>
      </c>
      <c r="C21" s="198">
        <v>44.585900384879999</v>
      </c>
      <c r="D21" s="199">
        <v>23.970914185419399</v>
      </c>
      <c r="E21" s="200">
        <v>2</v>
      </c>
      <c r="F21" s="201">
        <v>44.585900385469998</v>
      </c>
      <c r="G21" s="200">
        <v>1000.00000001323</v>
      </c>
      <c r="H21" s="200">
        <v>470</v>
      </c>
      <c r="I21" s="202">
        <v>24.550000000000299</v>
      </c>
      <c r="J21" s="202">
        <v>1094.5838544633</v>
      </c>
      <c r="K21" s="202">
        <v>0</v>
      </c>
      <c r="L21" s="202">
        <v>0</v>
      </c>
      <c r="M21" s="202">
        <v>0</v>
      </c>
      <c r="N21" s="202">
        <v>24.550000000325099</v>
      </c>
      <c r="O21" s="202">
        <f t="shared" si="0"/>
        <v>24.550000000325127</v>
      </c>
      <c r="P21" s="202">
        <f t="shared" si="1"/>
        <v>1094.5838544633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10.82876712319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10.191780821989999</v>
      </c>
      <c r="M23" s="202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s="196" customFormat="1" x14ac:dyDescent="0.25">
      <c r="A24" s="196">
        <v>22</v>
      </c>
      <c r="B24" s="197" t="s">
        <v>208</v>
      </c>
      <c r="C24" s="198">
        <v>6.0277035000000003</v>
      </c>
      <c r="D24" s="196">
        <v>41.272297585985903</v>
      </c>
      <c r="E24" s="196">
        <v>169</v>
      </c>
      <c r="F24" s="196">
        <v>0</v>
      </c>
      <c r="G24" s="196">
        <v>0</v>
      </c>
      <c r="H24" s="196">
        <v>717</v>
      </c>
      <c r="I24" s="196">
        <v>0</v>
      </c>
      <c r="J24" s="202">
        <v>0</v>
      </c>
      <c r="K24" s="202">
        <v>0</v>
      </c>
      <c r="L24" s="202">
        <v>35.967207330119997</v>
      </c>
      <c r="M24" s="202">
        <v>0</v>
      </c>
      <c r="N24" s="202">
        <v>0</v>
      </c>
      <c r="O24" s="202">
        <f t="shared" si="0"/>
        <v>5.9669835004525345</v>
      </c>
      <c r="P24" s="202">
        <f t="shared" si="1"/>
        <v>35.967207330119997</v>
      </c>
    </row>
    <row r="25" spans="1:16" s="196" customFormat="1" x14ac:dyDescent="0.25">
      <c r="A25" s="196">
        <v>23</v>
      </c>
      <c r="B25" s="197" t="s">
        <v>209</v>
      </c>
      <c r="C25" s="198">
        <v>11.0055</v>
      </c>
      <c r="D25" s="196">
        <v>48.981254005554398</v>
      </c>
      <c r="E25" s="196">
        <v>260</v>
      </c>
      <c r="F25" s="196">
        <v>0</v>
      </c>
      <c r="G25" s="196">
        <v>0</v>
      </c>
      <c r="H25" s="196">
        <v>711</v>
      </c>
      <c r="I25" s="196">
        <v>0</v>
      </c>
      <c r="J25" s="202">
        <v>0</v>
      </c>
      <c r="K25" s="202">
        <v>0</v>
      </c>
      <c r="L25" s="202">
        <v>52.166551660240003</v>
      </c>
      <c r="M25" s="202">
        <v>0</v>
      </c>
      <c r="N25" s="202">
        <v>0</v>
      </c>
      <c r="O25" s="202">
        <f t="shared" si="0"/>
        <v>4.7400437654118397</v>
      </c>
      <c r="P25" s="202">
        <f t="shared" si="1"/>
        <v>52.166551660240003</v>
      </c>
    </row>
    <row r="26" spans="1:16" x14ac:dyDescent="0.25">
      <c r="A26" s="196">
        <v>24</v>
      </c>
      <c r="B26" s="197" t="s">
        <v>210</v>
      </c>
      <c r="C26" s="198">
        <v>3.1248</v>
      </c>
      <c r="D26" s="196">
        <v>87.500000000000099</v>
      </c>
      <c r="E26" s="196">
        <v>0</v>
      </c>
      <c r="F26" s="196">
        <v>3.1248</v>
      </c>
      <c r="G26" s="196">
        <v>1000</v>
      </c>
      <c r="H26" s="196">
        <v>744</v>
      </c>
      <c r="I26" s="196">
        <v>7.77</v>
      </c>
      <c r="J26" s="203">
        <v>24.279696000000001</v>
      </c>
      <c r="K26" s="203">
        <v>0</v>
      </c>
      <c r="L26" s="203">
        <v>48.703520087649999</v>
      </c>
      <c r="M26" s="203">
        <v>0</v>
      </c>
      <c r="N26" s="202">
        <v>7.77</v>
      </c>
      <c r="O26" s="202">
        <f t="shared" si="0"/>
        <v>23.356123939980158</v>
      </c>
      <c r="P26" s="202">
        <f t="shared" si="1"/>
        <v>72.983216087649993</v>
      </c>
    </row>
    <row r="27" spans="1:16" x14ac:dyDescent="0.25">
      <c r="A27" s="196">
        <v>25</v>
      </c>
      <c r="B27" s="197" t="s">
        <v>211</v>
      </c>
      <c r="C27" s="198">
        <v>65.254962000000006</v>
      </c>
      <c r="D27" s="196">
        <v>58.472188172042998</v>
      </c>
      <c r="E27" s="196">
        <v>780</v>
      </c>
      <c r="F27" s="196">
        <v>0</v>
      </c>
      <c r="G27" s="196">
        <v>0</v>
      </c>
      <c r="H27" s="196">
        <v>722</v>
      </c>
      <c r="I27" s="196">
        <v>0</v>
      </c>
      <c r="J27" s="203">
        <v>0</v>
      </c>
      <c r="K27" s="203">
        <v>0</v>
      </c>
      <c r="L27" s="203">
        <v>268.73687671235001</v>
      </c>
      <c r="M27" s="203">
        <v>0</v>
      </c>
      <c r="N27" s="202">
        <v>0</v>
      </c>
      <c r="O27" s="202">
        <f t="shared" si="0"/>
        <v>4.1182596460994025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254.16599900004002</v>
      </c>
      <c r="D28" s="196"/>
      <c r="E28" s="196"/>
      <c r="F28" s="196"/>
      <c r="G28" s="196"/>
      <c r="H28" s="196"/>
      <c r="I28" s="196"/>
      <c r="J28" s="203">
        <f t="shared" ref="J28:P28" si="2">SUM(J3:J27)</f>
        <v>4489.2594604554697</v>
      </c>
      <c r="K28" s="203">
        <f t="shared" si="2"/>
        <v>13.87</v>
      </c>
      <c r="L28" s="203">
        <f t="shared" si="2"/>
        <v>2327.0408281382502</v>
      </c>
      <c r="M28" s="203">
        <f t="shared" si="2"/>
        <v>721.03857621532006</v>
      </c>
      <c r="N28" s="202">
        <f>(J28+M28)/C28</f>
        <v>20.49958710909231</v>
      </c>
      <c r="O28" s="202">
        <f t="shared" si="0"/>
        <v>29.709752266304708</v>
      </c>
      <c r="P28" s="202">
        <f t="shared" si="2"/>
        <v>7551.2088648090394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DAY("10/31/2020") * 24</f>
        <v>744</v>
      </c>
      <c r="D43" s="213">
        <f>IF($C$44=0,0,C43/$C$44)</f>
        <v>1</v>
      </c>
      <c r="E43" s="236">
        <v>24.577671941919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24.577671941919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17.63866781238</v>
      </c>
      <c r="D52" s="202">
        <v>1.7849191316666699</v>
      </c>
      <c r="E52" s="202">
        <v>331.21915554713001</v>
      </c>
      <c r="F52" s="201">
        <v>185.56535681312999</v>
      </c>
      <c r="G52" s="202">
        <v>1.44532414905</v>
      </c>
      <c r="H52" s="202">
        <v>11225.974398858438</v>
      </c>
      <c r="I52" s="202">
        <f>IF(F52=0,0,J52/F52)</f>
        <v>1.7927078922990101</v>
      </c>
      <c r="J52" s="202">
        <f>$E52+$G52</f>
        <v>332.66447969618002</v>
      </c>
    </row>
    <row r="53" spans="1:16" s="196" customFormat="1" x14ac:dyDescent="0.25">
      <c r="A53" s="196">
        <v>2</v>
      </c>
      <c r="B53" s="197" t="s">
        <v>230</v>
      </c>
      <c r="C53" s="198">
        <v>74.585069999999902</v>
      </c>
      <c r="D53" s="202">
        <v>1.9367654516666699</v>
      </c>
      <c r="E53" s="202">
        <v>1637.22134664692</v>
      </c>
      <c r="F53" s="201">
        <v>845.33795524451</v>
      </c>
      <c r="G53" s="202">
        <v>4.0026647387800001</v>
      </c>
      <c r="H53" s="202">
        <v>61256.373568442745</v>
      </c>
      <c r="I53" s="202">
        <f t="shared" ref="I53:I69" si="3">IF(F53=0,0,J53/F53)</f>
        <v>1.9415004392071613</v>
      </c>
      <c r="J53" s="202">
        <f t="shared" ref="J53:J69" si="4">$E53+$G53</f>
        <v>1641.2240113856999</v>
      </c>
    </row>
    <row r="54" spans="1:16" s="196" customFormat="1" x14ac:dyDescent="0.25">
      <c r="A54" s="196">
        <v>3</v>
      </c>
      <c r="B54" s="197" t="s">
        <v>231</v>
      </c>
      <c r="C54" s="198">
        <v>4.032</v>
      </c>
      <c r="D54" s="202">
        <v>3.06753034458333</v>
      </c>
      <c r="E54" s="202">
        <v>255.27227709912</v>
      </c>
      <c r="F54" s="201">
        <v>83.217523030560002</v>
      </c>
      <c r="G54" s="202">
        <v>10.649669939280001</v>
      </c>
      <c r="H54" s="202">
        <v>5927.1740050256412</v>
      </c>
      <c r="I54" s="202">
        <f t="shared" si="3"/>
        <v>3.195504232212552</v>
      </c>
      <c r="J54" s="202">
        <f t="shared" si="4"/>
        <v>265.92194703839999</v>
      </c>
    </row>
    <row r="55" spans="1:16" s="196" customFormat="1" x14ac:dyDescent="0.25">
      <c r="A55" s="196">
        <v>4</v>
      </c>
      <c r="B55" s="197" t="s">
        <v>232</v>
      </c>
      <c r="C55" s="198">
        <v>23.978400000000001</v>
      </c>
      <c r="D55" s="202">
        <v>3.07179737458334</v>
      </c>
      <c r="E55" s="202">
        <v>950.26823981580003</v>
      </c>
      <c r="F55" s="201">
        <v>309.35251383159999</v>
      </c>
      <c r="G55" s="202">
        <v>39.589043835799998</v>
      </c>
      <c r="H55" s="202">
        <v>22033.654831310541</v>
      </c>
      <c r="I55" s="202">
        <f t="shared" si="3"/>
        <v>3.1997712622126664</v>
      </c>
      <c r="J55" s="202">
        <f t="shared" si="4"/>
        <v>989.85728365160003</v>
      </c>
    </row>
    <row r="56" spans="1:16" s="196" customFormat="1" x14ac:dyDescent="0.25">
      <c r="A56" s="196">
        <v>5</v>
      </c>
      <c r="B56" s="197" t="s">
        <v>233</v>
      </c>
      <c r="C56" s="198">
        <v>18.717326400000001</v>
      </c>
      <c r="D56" s="202">
        <v>2.01333391208333</v>
      </c>
      <c r="E56" s="202">
        <v>499.35370506637997</v>
      </c>
      <c r="F56" s="201">
        <v>248.02329212663</v>
      </c>
      <c r="G56" s="202">
        <v>11.734195808580001</v>
      </c>
      <c r="H56" s="202">
        <v>18690.526912330821</v>
      </c>
      <c r="I56" s="202">
        <f t="shared" si="3"/>
        <v>2.0606447744997296</v>
      </c>
      <c r="J56" s="202">
        <f t="shared" si="4"/>
        <v>511.08790087495998</v>
      </c>
    </row>
    <row r="57" spans="1:16" s="196" customFormat="1" x14ac:dyDescent="0.25">
      <c r="A57" s="196">
        <v>6</v>
      </c>
      <c r="B57" s="197" t="s">
        <v>234</v>
      </c>
      <c r="C57" s="198">
        <v>2.1600000000000001E-2</v>
      </c>
      <c r="D57" s="202">
        <v>3.2768701629166701</v>
      </c>
      <c r="E57" s="202">
        <v>0.91315906339999997</v>
      </c>
      <c r="F57" s="201">
        <v>0.27866806379999998</v>
      </c>
      <c r="G57" s="202">
        <v>0</v>
      </c>
      <c r="H57" s="202">
        <v>250.1508651705565</v>
      </c>
      <c r="I57" s="202">
        <f t="shared" si="3"/>
        <v>3.2768701621129219</v>
      </c>
      <c r="J57" s="202">
        <f t="shared" si="4"/>
        <v>0.91315906339999997</v>
      </c>
    </row>
    <row r="58" spans="1:16" s="196" customFormat="1" x14ac:dyDescent="0.25">
      <c r="A58" s="196">
        <v>7</v>
      </c>
      <c r="B58" s="197" t="s">
        <v>235</v>
      </c>
      <c r="C58" s="198">
        <v>5.0673599999999999E-2</v>
      </c>
      <c r="D58" s="202">
        <v>2.2485355650000001</v>
      </c>
      <c r="E58" s="202">
        <v>1.5098373828</v>
      </c>
      <c r="F58" s="201">
        <v>0.67147587360000005</v>
      </c>
      <c r="G58" s="202">
        <v>0</v>
      </c>
      <c r="H58" s="202">
        <v>555.39774491315131</v>
      </c>
      <c r="I58" s="202">
        <f t="shared" si="3"/>
        <v>2.2485355649567449</v>
      </c>
      <c r="J58" s="202">
        <f t="shared" si="4"/>
        <v>1.5098373828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9.9376026019999994E-2</v>
      </c>
      <c r="D64" s="202">
        <v>3.5124423958333399</v>
      </c>
      <c r="E64" s="202">
        <v>4.1982833785800002</v>
      </c>
      <c r="F64" s="201">
        <v>1.19526042145</v>
      </c>
      <c r="G64" s="202">
        <v>0</v>
      </c>
      <c r="H64" s="202">
        <v>1072.9447230251346</v>
      </c>
      <c r="I64" s="202">
        <f t="shared" si="3"/>
        <v>3.5124423960152207</v>
      </c>
      <c r="J64" s="202">
        <f t="shared" si="4"/>
        <v>4.1982833785800002</v>
      </c>
    </row>
    <row r="65" spans="1:21" s="196" customFormat="1" x14ac:dyDescent="0.25">
      <c r="A65" s="196">
        <v>14</v>
      </c>
      <c r="B65" s="197" t="s">
        <v>239</v>
      </c>
      <c r="C65" s="198">
        <v>5.3140625519999998E-2</v>
      </c>
      <c r="D65" s="202">
        <v>3.5124423958333399</v>
      </c>
      <c r="E65" s="202">
        <v>2.2895265662500002</v>
      </c>
      <c r="F65" s="201">
        <v>0.65183319983999999</v>
      </c>
      <c r="G65" s="202">
        <v>0</v>
      </c>
      <c r="H65" s="202" t="e">
        <v>#N/A</v>
      </c>
      <c r="I65" s="202">
        <f t="shared" si="3"/>
        <v>3.512442396017863</v>
      </c>
      <c r="J65" s="202">
        <f t="shared" si="4"/>
        <v>2.2895265662500002</v>
      </c>
    </row>
    <row r="66" spans="1:21" s="196" customFormat="1" x14ac:dyDescent="0.25">
      <c r="A66" s="196">
        <v>15</v>
      </c>
      <c r="B66" s="197" t="s">
        <v>240</v>
      </c>
      <c r="C66" s="198">
        <v>2.4345256589999999E-2</v>
      </c>
      <c r="D66" s="202">
        <v>3.3967391299999998</v>
      </c>
      <c r="E66" s="202">
        <v>1.37210144494</v>
      </c>
      <c r="F66" s="201">
        <v>0.40394666544000002</v>
      </c>
      <c r="G66" s="202">
        <v>0</v>
      </c>
      <c r="H66" s="202">
        <v>372.64452531365311</v>
      </c>
      <c r="I66" s="202">
        <f t="shared" si="3"/>
        <v>3.3967391300171639</v>
      </c>
      <c r="J66" s="202">
        <f t="shared" si="4"/>
        <v>1.37210144494</v>
      </c>
    </row>
    <row r="67" spans="1:21" s="196" customFormat="1" x14ac:dyDescent="0.25">
      <c r="A67" s="196">
        <v>16</v>
      </c>
      <c r="B67" s="197" t="s">
        <v>241</v>
      </c>
      <c r="C67" s="198">
        <v>4.4207187500000002E-2</v>
      </c>
      <c r="D67" s="202">
        <v>18.714285709999999</v>
      </c>
      <c r="E67" s="202">
        <v>8.7035666798999998</v>
      </c>
      <c r="F67" s="201">
        <v>0.46507608224000002</v>
      </c>
      <c r="G67" s="202">
        <v>0</v>
      </c>
      <c r="H67" s="202">
        <v>3321.9720159999997</v>
      </c>
      <c r="I67" s="202">
        <f t="shared" si="3"/>
        <v>18.714285709942338</v>
      </c>
      <c r="J67" s="202">
        <f t="shared" si="4"/>
        <v>8.7035666798999998</v>
      </c>
    </row>
    <row r="68" spans="1:21" s="196" customFormat="1" x14ac:dyDescent="0.25">
      <c r="A68" s="196">
        <v>17</v>
      </c>
      <c r="B68" s="197" t="s">
        <v>242</v>
      </c>
      <c r="C68" s="198">
        <v>0.18693000000000001</v>
      </c>
      <c r="D68" s="202">
        <v>20.428571430000002</v>
      </c>
      <c r="E68" s="202">
        <v>43.280819050749997</v>
      </c>
      <c r="F68" s="201">
        <v>2.1186414918300001</v>
      </c>
      <c r="G68" s="202">
        <v>0</v>
      </c>
      <c r="H68" s="202">
        <v>15133.153513071429</v>
      </c>
      <c r="I68" s="202">
        <f t="shared" si="3"/>
        <v>20.428571430160044</v>
      </c>
      <c r="J68" s="202">
        <f t="shared" si="4"/>
        <v>43.280819050749997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10/1/2020&amp;CMontana-Dakota Utility Co.
Plexos V6.400
Plexos by Month - 2020 Operating Plan - Base Model - V-1 - Run 1&amp;RPage 19
8/21/2019
11:08:38 AM</oddHeader>
    <oddFooter>&amp;RPage 19
8/21/2019
11:08:38 AM&amp;C
Plexos V6.400
Plexos by Month - 2020 Operating Plan - Base Model - V-1 - Run 1&amp;L
Month Beginning: 10/1/2020</oddFooter>
    <evenHeader>&amp;L
Month Beginning: 10/1/2020&amp;CMontana-Dakota Utility Co.
Plexos V6.400
Plexos by Month - 2020 Operating Plan - Base Model - V-1 - Run 1&amp;RPage 20
8/21/2019
11:08:38 AM</evenHeader>
    <evenFooter>&amp;RPage 20
8/21/2019
11:08:38 AM&amp;C
Plexos V6.400
Plexos by Month - 2020 Operating Plan - Base Model - V-1 - Run 1&amp;L
Month Beginning: 10/1/2020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1682-3037-4211-B5CC-FAF7D2CF2C41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66.69</v>
      </c>
      <c r="D3" s="199">
        <v>85.368663594470107</v>
      </c>
      <c r="E3" s="200">
        <v>0</v>
      </c>
      <c r="F3" s="201">
        <v>701.45545907639996</v>
      </c>
      <c r="G3" s="200">
        <v>10518.1505334593</v>
      </c>
      <c r="H3" s="200">
        <v>720</v>
      </c>
      <c r="I3" s="202">
        <v>1.8272425480955601</v>
      </c>
      <c r="J3" s="202">
        <v>1281.7292604183001</v>
      </c>
      <c r="K3" s="202">
        <v>0</v>
      </c>
      <c r="L3" s="202">
        <v>223.32323136989999</v>
      </c>
      <c r="M3" s="202">
        <v>305.60492429999999</v>
      </c>
      <c r="N3" s="202">
        <v>23.801682182010801</v>
      </c>
      <c r="O3" s="202">
        <f>IF(C3=0,0,IF(P3/C3&gt;9999,TEXT(P3/C3,"0.00E+00"),P3/C3))</f>
        <v>27.15035861580747</v>
      </c>
      <c r="P3" s="202">
        <f>SUM(J3:M3)</f>
        <v>1810.6574160882001</v>
      </c>
    </row>
    <row r="4" spans="1:16" s="196" customFormat="1" x14ac:dyDescent="0.25">
      <c r="A4" s="196">
        <v>2</v>
      </c>
      <c r="B4" s="196" t="s">
        <v>188</v>
      </c>
      <c r="C4" s="198">
        <v>65.019499999999994</v>
      </c>
      <c r="D4" s="199">
        <v>84.3182643427741</v>
      </c>
      <c r="E4" s="200">
        <v>1</v>
      </c>
      <c r="F4" s="201">
        <v>737.08947151158998</v>
      </c>
      <c r="G4" s="200">
        <v>11336.4370921276</v>
      </c>
      <c r="H4" s="200">
        <v>648</v>
      </c>
      <c r="I4" s="202">
        <v>1.9829949665495501</v>
      </c>
      <c r="J4" s="202">
        <v>1461.64471190415</v>
      </c>
      <c r="K4" s="202">
        <v>0</v>
      </c>
      <c r="L4" s="202">
        <v>328.3458889314</v>
      </c>
      <c r="M4" s="202">
        <v>236.40440004999999</v>
      </c>
      <c r="N4" s="202">
        <v>26.115997692294599</v>
      </c>
      <c r="O4" s="202">
        <f t="shared" ref="O4:O28" si="0">IF(C4=0,0,IF(P4/C4&gt;9999,TEXT(P4/C4,"0.00E+00"),P4/C4))</f>
        <v>31.165957918555975</v>
      </c>
      <c r="P4" s="202">
        <f t="shared" ref="P4:P27" si="1">SUM(J4:M4)</f>
        <v>2026.39500088555</v>
      </c>
    </row>
    <row r="5" spans="1:16" s="196" customFormat="1" x14ac:dyDescent="0.25">
      <c r="A5" s="196">
        <v>3</v>
      </c>
      <c r="B5" s="197" t="s">
        <v>189</v>
      </c>
      <c r="C5" s="198">
        <v>5.0776025602699999</v>
      </c>
      <c r="D5" s="199">
        <v>27.020022138516399</v>
      </c>
      <c r="E5" s="200">
        <v>0</v>
      </c>
      <c r="F5" s="201">
        <v>104.40411211746</v>
      </c>
      <c r="G5" s="200">
        <v>20561.694397741201</v>
      </c>
      <c r="H5" s="200">
        <v>720</v>
      </c>
      <c r="I5" s="202">
        <v>3.06753034460518</v>
      </c>
      <c r="J5" s="202">
        <v>320.26278202187001</v>
      </c>
      <c r="K5" s="202">
        <v>0</v>
      </c>
      <c r="L5" s="202">
        <v>190.05323523300001</v>
      </c>
      <c r="M5" s="202">
        <v>30.893200273209999</v>
      </c>
      <c r="N5" s="202">
        <v>69.157831501569405</v>
      </c>
      <c r="O5" s="202">
        <f t="shared" si="0"/>
        <v>106.58755014872636</v>
      </c>
      <c r="P5" s="202">
        <f t="shared" si="1"/>
        <v>541.20921752807999</v>
      </c>
    </row>
    <row r="6" spans="1:16" s="196" customFormat="1" x14ac:dyDescent="0.25">
      <c r="A6" s="196">
        <v>4</v>
      </c>
      <c r="B6" s="197" t="s">
        <v>190</v>
      </c>
      <c r="C6" s="198">
        <v>36</v>
      </c>
      <c r="D6" s="199">
        <v>66.755674232309801</v>
      </c>
      <c r="E6" s="200">
        <v>0</v>
      </c>
      <c r="F6" s="201">
        <v>464.44677284310001</v>
      </c>
      <c r="G6" s="200">
        <v>12901.2992456417</v>
      </c>
      <c r="H6" s="200">
        <v>720</v>
      </c>
      <c r="I6" s="202">
        <v>3.07198194011522</v>
      </c>
      <c r="J6" s="202">
        <v>1426.7720983188001</v>
      </c>
      <c r="K6" s="202">
        <v>0</v>
      </c>
      <c r="L6" s="202">
        <v>345.74114975340001</v>
      </c>
      <c r="M6" s="202">
        <v>259.48584</v>
      </c>
      <c r="N6" s="202">
        <v>46.840498286633299</v>
      </c>
      <c r="O6" s="202">
        <f t="shared" si="0"/>
        <v>56.444419113116666</v>
      </c>
      <c r="P6" s="202">
        <f t="shared" si="1"/>
        <v>2031.9990880722</v>
      </c>
    </row>
    <row r="7" spans="1:16" s="196" customFormat="1" x14ac:dyDescent="0.25">
      <c r="A7" s="196">
        <v>5</v>
      </c>
      <c r="B7" s="197" t="s">
        <v>191</v>
      </c>
      <c r="C7" s="198">
        <v>24.48</v>
      </c>
      <c r="D7" s="199">
        <v>72.340425531914903</v>
      </c>
      <c r="E7" s="200">
        <v>0</v>
      </c>
      <c r="F7" s="201">
        <v>324.38448000030002</v>
      </c>
      <c r="G7" s="200">
        <v>13251.0000000123</v>
      </c>
      <c r="H7" s="200">
        <v>720</v>
      </c>
      <c r="I7" s="202">
        <v>2.0139689567121</v>
      </c>
      <c r="J7" s="202">
        <v>653.30027275980001</v>
      </c>
      <c r="K7" s="202">
        <v>0</v>
      </c>
      <c r="L7" s="202">
        <v>365.44642684920001</v>
      </c>
      <c r="M7" s="202">
        <v>222.08843519999999</v>
      </c>
      <c r="N7" s="202">
        <v>35.759342645416702</v>
      </c>
      <c r="O7" s="202">
        <f t="shared" si="0"/>
        <v>50.687709755269609</v>
      </c>
      <c r="P7" s="202">
        <f t="shared" si="1"/>
        <v>1240.835134809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12.624647917800001</v>
      </c>
      <c r="M9" s="202">
        <v>0</v>
      </c>
      <c r="N9" s="202">
        <v>0</v>
      </c>
      <c r="O9" s="202">
        <f t="shared" si="0"/>
        <v>0</v>
      </c>
      <c r="P9" s="202">
        <f t="shared" si="1"/>
        <v>12.624647917800001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25.965016027499999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25.965016027499999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2.6591608767000001</v>
      </c>
      <c r="M11" s="202">
        <v>0</v>
      </c>
      <c r="N11" s="202">
        <v>0</v>
      </c>
      <c r="O11" s="202">
        <f t="shared" si="0"/>
        <v>0</v>
      </c>
      <c r="P11" s="202">
        <f t="shared" si="1"/>
        <v>2.6591608767000001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218.34742553429999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218.34742553429999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51.280979671200001</v>
      </c>
      <c r="M14" s="202">
        <v>0</v>
      </c>
      <c r="N14" s="202">
        <v>0</v>
      </c>
      <c r="O14" s="202">
        <f t="shared" si="0"/>
        <v>0</v>
      </c>
      <c r="P14" s="202">
        <f t="shared" si="1"/>
        <v>51.280979671200001</v>
      </c>
    </row>
    <row r="15" spans="1:16" s="196" customFormat="1" x14ac:dyDescent="0.25">
      <c r="A15" s="196">
        <v>13</v>
      </c>
      <c r="B15" s="197" t="s">
        <v>199</v>
      </c>
      <c r="C15" s="198">
        <v>3.7255606849999998E-2</v>
      </c>
      <c r="D15" s="199">
        <v>0.239555085198045</v>
      </c>
      <c r="E15" s="200">
        <v>1</v>
      </c>
      <c r="F15" s="201">
        <v>0.53657468914999995</v>
      </c>
      <c r="G15" s="200">
        <v>14402.521781764999</v>
      </c>
      <c r="H15" s="200">
        <v>2</v>
      </c>
      <c r="I15" s="202">
        <v>3.3967391300309502</v>
      </c>
      <c r="J15" s="202">
        <v>1.82260424282</v>
      </c>
      <c r="K15" s="202">
        <v>0.12</v>
      </c>
      <c r="L15" s="202">
        <v>15.292604712299999</v>
      </c>
      <c r="M15" s="202">
        <v>9.593318763E-2</v>
      </c>
      <c r="N15" s="202">
        <v>51.496609307009599</v>
      </c>
      <c r="O15" s="202">
        <f t="shared" si="0"/>
        <v>465.1955398962989</v>
      </c>
      <c r="P15" s="202">
        <f t="shared" si="1"/>
        <v>17.33114214275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1.13219443015</v>
      </c>
      <c r="D17" s="196">
        <v>76.706939712059594</v>
      </c>
      <c r="E17" s="196">
        <v>0</v>
      </c>
      <c r="F17" s="196">
        <v>1.1321944299</v>
      </c>
      <c r="G17" s="196">
        <v>999.99999977919003</v>
      </c>
      <c r="H17" s="196">
        <v>720</v>
      </c>
      <c r="I17" s="196">
        <v>33.249999999889603</v>
      </c>
      <c r="J17" s="202">
        <v>37.64546479405</v>
      </c>
      <c r="K17" s="202">
        <v>0</v>
      </c>
      <c r="L17" s="202">
        <v>0</v>
      </c>
      <c r="M17" s="202">
        <v>0</v>
      </c>
      <c r="N17" s="202">
        <v>33.2499999925477</v>
      </c>
      <c r="O17" s="202">
        <f t="shared" si="0"/>
        <v>33.249999992547657</v>
      </c>
      <c r="P17" s="202">
        <f t="shared" si="1"/>
        <v>37.64546479405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16.458904109700001</v>
      </c>
      <c r="M18" s="202">
        <v>0</v>
      </c>
      <c r="N18" s="202">
        <v>0</v>
      </c>
      <c r="O18" s="202">
        <f t="shared" si="0"/>
        <v>0</v>
      </c>
      <c r="P18" s="202">
        <f t="shared" si="1"/>
        <v>16.458904109700001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43.602739725900001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43.602739725900001</v>
      </c>
    </row>
    <row r="20" spans="1:16" x14ac:dyDescent="0.25">
      <c r="A20" s="196">
        <v>18</v>
      </c>
      <c r="B20" s="197" t="s">
        <v>204</v>
      </c>
      <c r="C20" s="198">
        <v>-17.44241423723</v>
      </c>
      <c r="D20" s="196">
        <v>2.42255753294861</v>
      </c>
      <c r="E20" s="196"/>
      <c r="F20" s="196"/>
      <c r="G20" s="196"/>
      <c r="H20" s="196"/>
      <c r="I20" s="196"/>
      <c r="J20" s="203">
        <v>-442.33962505586999</v>
      </c>
      <c r="O20" s="202">
        <f t="shared" si="0"/>
        <v>25.359999999983785</v>
      </c>
      <c r="P20" s="202">
        <f t="shared" si="1"/>
        <v>-442.33962505586999</v>
      </c>
    </row>
    <row r="21" spans="1:16" s="196" customFormat="1" x14ac:dyDescent="0.25">
      <c r="A21" s="196">
        <v>19</v>
      </c>
      <c r="B21" s="197" t="s">
        <v>205</v>
      </c>
      <c r="C21" s="198">
        <v>31.35022433995</v>
      </c>
      <c r="D21" s="196">
        <v>17.4167912999722</v>
      </c>
      <c r="E21" s="196">
        <v>3</v>
      </c>
      <c r="F21" s="196">
        <v>31.350224339779999</v>
      </c>
      <c r="G21" s="196">
        <v>999.99999999457702</v>
      </c>
      <c r="H21" s="196">
        <v>430</v>
      </c>
      <c r="I21" s="196">
        <v>25.36</v>
      </c>
      <c r="J21" s="202">
        <v>795.04168925681995</v>
      </c>
      <c r="K21" s="202">
        <v>0</v>
      </c>
      <c r="L21" s="202">
        <v>0</v>
      </c>
      <c r="M21" s="202">
        <v>0</v>
      </c>
      <c r="N21" s="202">
        <v>25.359999999862499</v>
      </c>
      <c r="O21" s="202">
        <f t="shared" si="0"/>
        <v>25.359999999862456</v>
      </c>
      <c r="P21" s="202">
        <f t="shared" si="1"/>
        <v>795.04168925681995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9">
        <v>0</v>
      </c>
      <c r="E22" s="200">
        <v>0</v>
      </c>
      <c r="F22" s="201">
        <v>0</v>
      </c>
      <c r="G22" s="200">
        <v>0</v>
      </c>
      <c r="H22" s="200">
        <v>0</v>
      </c>
      <c r="I22" s="202">
        <v>0</v>
      </c>
      <c r="J22" s="202">
        <v>0</v>
      </c>
      <c r="K22" s="202">
        <v>0</v>
      </c>
      <c r="L22" s="202">
        <v>10.479452054699999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10.479452054699999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9.8630136986999908</v>
      </c>
      <c r="M23" s="202">
        <v>0</v>
      </c>
      <c r="N23" s="202">
        <v>0</v>
      </c>
      <c r="O23" s="202">
        <f t="shared" si="0"/>
        <v>0</v>
      </c>
      <c r="P23" s="202">
        <f t="shared" si="1"/>
        <v>9.8630136986999908</v>
      </c>
    </row>
    <row r="24" spans="1:16" s="196" customFormat="1" x14ac:dyDescent="0.25">
      <c r="A24" s="196">
        <v>22</v>
      </c>
      <c r="B24" s="197" t="s">
        <v>208</v>
      </c>
      <c r="C24" s="198">
        <v>4.6153133000000004</v>
      </c>
      <c r="D24" s="196">
        <v>32.654902501839601</v>
      </c>
      <c r="E24" s="196">
        <v>273</v>
      </c>
      <c r="F24" s="196">
        <v>0</v>
      </c>
      <c r="G24" s="196">
        <v>0</v>
      </c>
      <c r="H24" s="196">
        <v>593</v>
      </c>
      <c r="I24" s="196">
        <v>0</v>
      </c>
      <c r="J24" s="202">
        <v>0</v>
      </c>
      <c r="K24" s="202">
        <v>0</v>
      </c>
      <c r="L24" s="202">
        <v>34.806974835600002</v>
      </c>
      <c r="M24" s="202">
        <v>0</v>
      </c>
      <c r="N24" s="202">
        <v>0</v>
      </c>
      <c r="O24" s="202">
        <f t="shared" si="0"/>
        <v>7.5416277450980411</v>
      </c>
      <c r="P24" s="202">
        <f t="shared" si="1"/>
        <v>34.806974835600002</v>
      </c>
    </row>
    <row r="25" spans="1:16" s="196" customFormat="1" x14ac:dyDescent="0.25">
      <c r="A25" s="196">
        <v>23</v>
      </c>
      <c r="B25" s="197" t="s">
        <v>209</v>
      </c>
      <c r="C25" s="198">
        <v>8.1679999999999993</v>
      </c>
      <c r="D25" s="196">
        <v>37.564385577630603</v>
      </c>
      <c r="E25" s="196">
        <v>360</v>
      </c>
      <c r="F25" s="196">
        <v>0</v>
      </c>
      <c r="G25" s="196">
        <v>0</v>
      </c>
      <c r="H25" s="196">
        <v>570</v>
      </c>
      <c r="I25" s="196">
        <v>0</v>
      </c>
      <c r="J25" s="202">
        <v>0</v>
      </c>
      <c r="K25" s="202">
        <v>0</v>
      </c>
      <c r="L25" s="202">
        <v>50.483759671199998</v>
      </c>
      <c r="M25" s="202">
        <v>0</v>
      </c>
      <c r="N25" s="202">
        <v>0</v>
      </c>
      <c r="O25" s="202">
        <f t="shared" si="0"/>
        <v>6.1806757677766901</v>
      </c>
      <c r="P25" s="202">
        <f t="shared" si="1"/>
        <v>50.483759671199998</v>
      </c>
    </row>
    <row r="26" spans="1:16" s="196" customFormat="1" x14ac:dyDescent="0.25">
      <c r="A26" s="196">
        <v>24</v>
      </c>
      <c r="B26" s="197" t="s">
        <v>210</v>
      </c>
      <c r="C26" s="198">
        <v>3.024</v>
      </c>
      <c r="D26" s="196">
        <v>87.500000000000099</v>
      </c>
      <c r="E26" s="196">
        <v>0</v>
      </c>
      <c r="F26" s="196">
        <v>3.024</v>
      </c>
      <c r="G26" s="196">
        <v>1000</v>
      </c>
      <c r="H26" s="196">
        <v>720</v>
      </c>
      <c r="I26" s="196">
        <v>7.77</v>
      </c>
      <c r="J26" s="202">
        <v>23.496479999999998</v>
      </c>
      <c r="K26" s="202">
        <v>0</v>
      </c>
      <c r="L26" s="202">
        <v>47.132438794499997</v>
      </c>
      <c r="M26" s="202">
        <v>0</v>
      </c>
      <c r="N26" s="202">
        <v>7.77</v>
      </c>
      <c r="O26" s="202">
        <f t="shared" si="0"/>
        <v>23.356123939980158</v>
      </c>
      <c r="P26" s="202">
        <f t="shared" si="1"/>
        <v>70.628918794499995</v>
      </c>
    </row>
    <row r="27" spans="1:16" x14ac:dyDescent="0.25">
      <c r="A27" s="196">
        <v>25</v>
      </c>
      <c r="B27" s="197" t="s">
        <v>211</v>
      </c>
      <c r="C27" s="198">
        <v>55.240338000000001</v>
      </c>
      <c r="D27" s="196">
        <v>51.148461111111096</v>
      </c>
      <c r="E27" s="196">
        <v>960</v>
      </c>
      <c r="F27" s="196">
        <v>0</v>
      </c>
      <c r="G27" s="196">
        <v>0</v>
      </c>
      <c r="H27" s="196">
        <v>656</v>
      </c>
      <c r="I27" s="196">
        <v>0</v>
      </c>
      <c r="J27" s="203">
        <v>0</v>
      </c>
      <c r="K27" s="203">
        <v>0</v>
      </c>
      <c r="L27" s="203">
        <v>260.0679452055</v>
      </c>
      <c r="M27" s="203">
        <v>0</v>
      </c>
      <c r="N27" s="202">
        <v>0</v>
      </c>
      <c r="O27" s="202">
        <f t="shared" si="0"/>
        <v>4.7079354439413459</v>
      </c>
      <c r="P27" s="202">
        <f t="shared" si="1"/>
        <v>260.0679452055</v>
      </c>
    </row>
    <row r="28" spans="1:16" x14ac:dyDescent="0.25">
      <c r="B28" s="197" t="s">
        <v>212</v>
      </c>
      <c r="C28" s="198">
        <f>SUM(C3:C27)</f>
        <v>283.39201399999001</v>
      </c>
      <c r="D28" s="196"/>
      <c r="E28" s="196"/>
      <c r="F28" s="196"/>
      <c r="G28" s="196"/>
      <c r="H28" s="196"/>
      <c r="I28" s="196"/>
      <c r="J28" s="203">
        <f t="shared" ref="J28:P28" si="2">SUM(J3:J27)</f>
        <v>5559.3757386607394</v>
      </c>
      <c r="K28" s="203">
        <f t="shared" si="2"/>
        <v>0.12</v>
      </c>
      <c r="L28" s="203">
        <f t="shared" si="2"/>
        <v>2251.9749949724996</v>
      </c>
      <c r="M28" s="203">
        <f t="shared" si="2"/>
        <v>1054.57273301084</v>
      </c>
      <c r="N28" s="202">
        <f>(J28+M28)/C28</f>
        <v>23.338513948638695</v>
      </c>
      <c r="O28" s="202">
        <f t="shared" si="0"/>
        <v>31.285438645580147</v>
      </c>
      <c r="P28" s="202">
        <f t="shared" si="2"/>
        <v>8866.0434666440779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DAY("11/30/2020") * 24</f>
        <v>720</v>
      </c>
      <c r="D43" s="213">
        <f>IF($C$44=0,0,C43/$C$44)</f>
        <v>1</v>
      </c>
      <c r="E43" s="236">
        <v>25.4692466633152</v>
      </c>
      <c r="F43" s="236"/>
    </row>
    <row r="44" spans="1:21" x14ac:dyDescent="0.25">
      <c r="A44" s="214"/>
      <c r="B44" s="204" t="s">
        <v>212</v>
      </c>
      <c r="C44" s="200">
        <f>SUM(C41:C43)</f>
        <v>720</v>
      </c>
      <c r="D44" s="215">
        <f>SUM(D41:D43)</f>
        <v>1</v>
      </c>
      <c r="E44" s="237">
        <f>E41*D41+E42*D42+E43*D43</f>
        <v>25.4692466633152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66.523274999999998</v>
      </c>
      <c r="D52" s="202">
        <v>1.7849191316666699</v>
      </c>
      <c r="E52" s="202">
        <v>1248.9111657333001</v>
      </c>
      <c r="F52" s="201">
        <v>699.70182042869999</v>
      </c>
      <c r="G52" s="202">
        <v>5.4498100052999998</v>
      </c>
      <c r="H52" s="202">
        <v>42329.208737368419</v>
      </c>
      <c r="I52" s="202">
        <f>IF(F52=0,0,J52/F52)</f>
        <v>1.7927078922991313</v>
      </c>
      <c r="J52" s="202">
        <f>$E52+$G52</f>
        <v>1254.3609757386</v>
      </c>
    </row>
    <row r="53" spans="1:16" s="196" customFormat="1" x14ac:dyDescent="0.25">
      <c r="A53" s="196">
        <v>2</v>
      </c>
      <c r="B53" s="197" t="s">
        <v>230</v>
      </c>
      <c r="C53" s="198">
        <v>64.856951249999995</v>
      </c>
      <c r="D53" s="202">
        <v>1.9367654516666699</v>
      </c>
      <c r="E53" s="202">
        <v>1424.00049960662</v>
      </c>
      <c r="F53" s="201">
        <v>735.24674783282001</v>
      </c>
      <c r="G53" s="202">
        <v>3.4813842364399998</v>
      </c>
      <c r="H53" s="202">
        <v>53278.749842957972</v>
      </c>
      <c r="I53" s="202">
        <f t="shared" ref="I53:I69" si="3">IF(F53=0,0,J53/F53)</f>
        <v>1.9415004392071653</v>
      </c>
      <c r="J53" s="202">
        <f t="shared" ref="J53:J69" si="4">$E53+$G53</f>
        <v>1427.4818838430599</v>
      </c>
    </row>
    <row r="54" spans="1:16" s="196" customFormat="1" x14ac:dyDescent="0.25">
      <c r="A54" s="196">
        <v>3</v>
      </c>
      <c r="B54" s="197" t="s">
        <v>231</v>
      </c>
      <c r="C54" s="198">
        <v>5.0776025602699999</v>
      </c>
      <c r="D54" s="202">
        <v>3.06753034458333</v>
      </c>
      <c r="E54" s="202">
        <v>320.26278202187001</v>
      </c>
      <c r="F54" s="201">
        <v>104.40411211746</v>
      </c>
      <c r="G54" s="202">
        <v>13.36100010987</v>
      </c>
      <c r="H54" s="202">
        <v>7436.1903217564104</v>
      </c>
      <c r="I54" s="202">
        <f t="shared" si="3"/>
        <v>3.1955042322125791</v>
      </c>
      <c r="J54" s="202">
        <f t="shared" si="4"/>
        <v>333.62378213174003</v>
      </c>
    </row>
    <row r="55" spans="1:16" s="196" customFormat="1" x14ac:dyDescent="0.25">
      <c r="A55" s="196">
        <v>4</v>
      </c>
      <c r="B55" s="197" t="s">
        <v>232</v>
      </c>
      <c r="C55" s="198">
        <v>35.967599999999997</v>
      </c>
      <c r="D55" s="202">
        <v>3.07179737458334</v>
      </c>
      <c r="E55" s="202">
        <v>1425.4023597237001</v>
      </c>
      <c r="F55" s="201">
        <v>464.02877074740002</v>
      </c>
      <c r="G55" s="202">
        <v>59.383565753699997</v>
      </c>
      <c r="H55" s="202">
        <v>33050.482246965817</v>
      </c>
      <c r="I55" s="202">
        <f t="shared" si="3"/>
        <v>3.1997712622126659</v>
      </c>
      <c r="J55" s="202">
        <f t="shared" si="4"/>
        <v>1484.7859254774</v>
      </c>
    </row>
    <row r="56" spans="1:16" s="196" customFormat="1" x14ac:dyDescent="0.25">
      <c r="A56" s="196">
        <v>5</v>
      </c>
      <c r="B56" s="197" t="s">
        <v>233</v>
      </c>
      <c r="C56" s="198">
        <v>24.413903999999999</v>
      </c>
      <c r="D56" s="202">
        <v>2.01333391208333</v>
      </c>
      <c r="E56" s="202">
        <v>651.33091965179904</v>
      </c>
      <c r="F56" s="201">
        <v>323.50864190430002</v>
      </c>
      <c r="G56" s="202">
        <v>15.3054727938</v>
      </c>
      <c r="H56" s="202">
        <v>24378.948146518465</v>
      </c>
      <c r="I56" s="202">
        <f t="shared" si="3"/>
        <v>2.0606447744997265</v>
      </c>
      <c r="J56" s="202">
        <f t="shared" si="4"/>
        <v>666.63639244559909</v>
      </c>
    </row>
    <row r="57" spans="1:16" s="196" customFormat="1" x14ac:dyDescent="0.25">
      <c r="A57" s="196">
        <v>6</v>
      </c>
      <c r="B57" s="197" t="s">
        <v>234</v>
      </c>
      <c r="C57" s="198">
        <v>3.2399999999999998E-2</v>
      </c>
      <c r="D57" s="202">
        <v>3.2768701629166701</v>
      </c>
      <c r="E57" s="202">
        <v>1.3697385951000001</v>
      </c>
      <c r="F57" s="201">
        <v>0.41800209570000002</v>
      </c>
      <c r="G57" s="202">
        <v>0</v>
      </c>
      <c r="H57" s="202">
        <v>375.22629775583482</v>
      </c>
      <c r="I57" s="202">
        <f t="shared" si="3"/>
        <v>3.2768701621129215</v>
      </c>
      <c r="J57" s="202">
        <f t="shared" si="4"/>
        <v>1.3697385951000001</v>
      </c>
    </row>
    <row r="58" spans="1:16" s="196" customFormat="1" x14ac:dyDescent="0.25">
      <c r="A58" s="196">
        <v>7</v>
      </c>
      <c r="B58" s="197" t="s">
        <v>235</v>
      </c>
      <c r="C58" s="198">
        <v>6.6096000000000002E-2</v>
      </c>
      <c r="D58" s="202">
        <v>2.2485355650000001</v>
      </c>
      <c r="E58" s="202">
        <v>1.969353108</v>
      </c>
      <c r="F58" s="201">
        <v>0.87583809599999995</v>
      </c>
      <c r="G58" s="202">
        <v>0</v>
      </c>
      <c r="H58" s="202">
        <v>724.43184119106695</v>
      </c>
      <c r="I58" s="202">
        <f t="shared" si="3"/>
        <v>2.2485355649567453</v>
      </c>
      <c r="J58" s="202">
        <f t="shared" si="4"/>
        <v>1.969353108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3.7255606849999998E-2</v>
      </c>
      <c r="D66" s="202">
        <v>3.3967391299999998</v>
      </c>
      <c r="E66" s="202">
        <v>1.82260424282</v>
      </c>
      <c r="F66" s="201">
        <v>0.53657468914999995</v>
      </c>
      <c r="G66" s="202">
        <v>0</v>
      </c>
      <c r="H66" s="202">
        <v>494.99510069188182</v>
      </c>
      <c r="I66" s="202">
        <f t="shared" si="3"/>
        <v>3.3967391300309533</v>
      </c>
      <c r="J66" s="202">
        <f t="shared" si="4"/>
        <v>1.82260424282</v>
      </c>
    </row>
    <row r="67" spans="1:21" s="196" customFormat="1" x14ac:dyDescent="0.25">
      <c r="A67" s="196">
        <v>16</v>
      </c>
      <c r="B67" s="197" t="s">
        <v>241</v>
      </c>
      <c r="C67" s="198">
        <v>0.16672500000000001</v>
      </c>
      <c r="D67" s="202">
        <v>18.714285709999999</v>
      </c>
      <c r="E67" s="202">
        <v>32.818094684999998</v>
      </c>
      <c r="F67" s="201">
        <v>1.7536386477000001</v>
      </c>
      <c r="G67" s="202">
        <v>0</v>
      </c>
      <c r="H67" s="202">
        <v>12525.990340714285</v>
      </c>
      <c r="I67" s="202">
        <f t="shared" si="3"/>
        <v>18.714285709911135</v>
      </c>
      <c r="J67" s="202">
        <f t="shared" si="4"/>
        <v>32.818094684999998</v>
      </c>
    </row>
    <row r="68" spans="1:21" s="196" customFormat="1" x14ac:dyDescent="0.25">
      <c r="A68" s="196">
        <v>17</v>
      </c>
      <c r="B68" s="197" t="s">
        <v>242</v>
      </c>
      <c r="C68" s="198">
        <v>0.16254874999999999</v>
      </c>
      <c r="D68" s="202">
        <v>20.428571430000002</v>
      </c>
      <c r="E68" s="202">
        <v>37.644212297789998</v>
      </c>
      <c r="F68" s="201">
        <v>1.8427236787700001</v>
      </c>
      <c r="G68" s="202">
        <v>0</v>
      </c>
      <c r="H68" s="202">
        <v>13162.311991214285</v>
      </c>
      <c r="I68" s="202">
        <f t="shared" si="3"/>
        <v>20.428571430154488</v>
      </c>
      <c r="J68" s="202">
        <f t="shared" si="4"/>
        <v>37.644212297789998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11/1/2020&amp;CMontana-Dakota Utility Co.
Plexos V6.400
Plexos by Month - 2020 Operating Plan - Base Model - V-1 - Run 1&amp;RPage 21
8/21/2019
11:08:38 AM</oddHeader>
    <oddFooter>&amp;RPage 21
8/21/2019
11:08:38 AM&amp;C
Plexos V6.400
Plexos by Month - 2020 Operating Plan - Base Model - V-1 - Run 1&amp;L
Month Beginning: 11/1/2020</oddFooter>
    <evenHeader>&amp;L
Month Beginning: 11/1/2020&amp;CMontana-Dakota Utility Co.
Plexos V6.400
Plexos by Month - 2020 Operating Plan - Base Model - V-1 - Run 1&amp;RPage 22
8/21/2019
11:08:38 AM</evenHeader>
    <evenFooter>&amp;RPage 22
8/21/2019
11:08:38 AM&amp;C
Plexos V6.400
Plexos by Month - 2020 Operating Plan - Base Model - V-1 - Run 1&amp;L
Month Beginning: 11/1/2020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896C-4121-476F-9955-47625E160268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68.912999999999997</v>
      </c>
      <c r="D3" s="199">
        <v>85.368663594470107</v>
      </c>
      <c r="E3" s="200">
        <v>0</v>
      </c>
      <c r="F3" s="201">
        <v>724.83730771227999</v>
      </c>
      <c r="G3" s="200">
        <v>10518.1505334593</v>
      </c>
      <c r="H3" s="200">
        <v>744</v>
      </c>
      <c r="I3" s="202">
        <v>1.8272425480955601</v>
      </c>
      <c r="J3" s="202">
        <v>1324.4535690989101</v>
      </c>
      <c r="K3" s="202">
        <v>0</v>
      </c>
      <c r="L3" s="202">
        <v>230.76733908223</v>
      </c>
      <c r="M3" s="202">
        <v>315.79175511</v>
      </c>
      <c r="N3" s="202">
        <v>23.801682182010801</v>
      </c>
      <c r="O3" s="202">
        <f>IF(C3=0,0,IF(P3/C3&gt;9999,TEXT(P3/C3,"0.00E+00"),P3/C3))</f>
        <v>27.150358615807466</v>
      </c>
      <c r="P3" s="202">
        <f>SUM(J3:M3)</f>
        <v>1871.0126632911399</v>
      </c>
    </row>
    <row r="4" spans="1:16" s="196" customFormat="1" x14ac:dyDescent="0.25">
      <c r="A4" s="196">
        <v>2</v>
      </c>
      <c r="B4" s="196" t="s">
        <v>188</v>
      </c>
      <c r="C4" s="198">
        <v>60.106999999999999</v>
      </c>
      <c r="D4" s="199">
        <v>75.433219882935305</v>
      </c>
      <c r="E4" s="200">
        <v>2</v>
      </c>
      <c r="F4" s="201">
        <v>681.55442832475001</v>
      </c>
      <c r="G4" s="200">
        <v>11339.0192211348</v>
      </c>
      <c r="H4" s="200">
        <v>600</v>
      </c>
      <c r="I4" s="202">
        <v>1.9829949665495299</v>
      </c>
      <c r="J4" s="202">
        <v>1351.51900079752</v>
      </c>
      <c r="K4" s="202">
        <v>0</v>
      </c>
      <c r="L4" s="202">
        <v>339.29075189577998</v>
      </c>
      <c r="M4" s="202">
        <v>218.5430413</v>
      </c>
      <c r="N4" s="202">
        <v>26.121118041118699</v>
      </c>
      <c r="O4" s="202">
        <f t="shared" ref="O4:O28" si="0">IF(C4=0,0,IF(P4/C4&gt;9999,TEXT(P4/C4,"0.00E+00"),P4/C4))</f>
        <v>31.765897382888845</v>
      </c>
      <c r="P4" s="202">
        <f t="shared" ref="P4:P27" si="1">SUM(J4:M4)</f>
        <v>1909.3527939932999</v>
      </c>
    </row>
    <row r="5" spans="1:16" s="196" customFormat="1" x14ac:dyDescent="0.25">
      <c r="A5" s="196">
        <v>3</v>
      </c>
      <c r="B5" s="197" t="s">
        <v>189</v>
      </c>
      <c r="C5" s="198">
        <v>4.2067325898999997</v>
      </c>
      <c r="D5" s="199">
        <v>21.6636416486425</v>
      </c>
      <c r="E5" s="200">
        <v>2</v>
      </c>
      <c r="F5" s="201">
        <v>86.753352715299997</v>
      </c>
      <c r="G5" s="200">
        <v>20622.502348636899</v>
      </c>
      <c r="H5" s="200">
        <v>600</v>
      </c>
      <c r="I5" s="202">
        <v>3.0675303446053102</v>
      </c>
      <c r="J5" s="202">
        <v>266.11854195042997</v>
      </c>
      <c r="K5" s="202">
        <v>2</v>
      </c>
      <c r="L5" s="202">
        <v>196.38834307409999</v>
      </c>
      <c r="M5" s="202">
        <v>25.594644490810001</v>
      </c>
      <c r="N5" s="202">
        <v>69.344361736141195</v>
      </c>
      <c r="O5" s="202">
        <f t="shared" si="0"/>
        <v>116.50408459335668</v>
      </c>
      <c r="P5" s="202">
        <f t="shared" si="1"/>
        <v>490.10152951534002</v>
      </c>
    </row>
    <row r="6" spans="1:16" s="196" customFormat="1" x14ac:dyDescent="0.25">
      <c r="A6" s="196">
        <v>4</v>
      </c>
      <c r="B6" s="197" t="s">
        <v>190</v>
      </c>
      <c r="C6" s="198">
        <v>37.200000000000003</v>
      </c>
      <c r="D6" s="199">
        <v>66.755674232309801</v>
      </c>
      <c r="E6" s="200">
        <v>0</v>
      </c>
      <c r="F6" s="201">
        <v>479.92833193786998</v>
      </c>
      <c r="G6" s="200">
        <v>12901.2992456417</v>
      </c>
      <c r="H6" s="200">
        <v>744</v>
      </c>
      <c r="I6" s="202">
        <v>3.07198194011522</v>
      </c>
      <c r="J6" s="202">
        <v>1474.33116826276</v>
      </c>
      <c r="K6" s="202">
        <v>0</v>
      </c>
      <c r="L6" s="202">
        <v>357.26585474517998</v>
      </c>
      <c r="M6" s="202">
        <v>268.13536800000003</v>
      </c>
      <c r="N6" s="202">
        <v>46.840498286633299</v>
      </c>
      <c r="O6" s="202">
        <f t="shared" si="0"/>
        <v>56.444419113116659</v>
      </c>
      <c r="P6" s="202">
        <f t="shared" si="1"/>
        <v>2099.7323910079399</v>
      </c>
    </row>
    <row r="7" spans="1:16" s="196" customFormat="1" x14ac:dyDescent="0.25">
      <c r="A7" s="196">
        <v>5</v>
      </c>
      <c r="B7" s="197" t="s">
        <v>191</v>
      </c>
      <c r="C7" s="198">
        <v>25.295999999999999</v>
      </c>
      <c r="D7" s="199">
        <v>72.340425531914903</v>
      </c>
      <c r="E7" s="200">
        <v>0</v>
      </c>
      <c r="F7" s="201">
        <v>335.19729600031002</v>
      </c>
      <c r="G7" s="200">
        <v>13251.0000000123</v>
      </c>
      <c r="H7" s="200">
        <v>744</v>
      </c>
      <c r="I7" s="202">
        <v>2.0139689567121</v>
      </c>
      <c r="J7" s="202">
        <v>675.07694851845997</v>
      </c>
      <c r="K7" s="202">
        <v>0</v>
      </c>
      <c r="L7" s="202">
        <v>377.62797441084001</v>
      </c>
      <c r="M7" s="202">
        <v>229.49138303999999</v>
      </c>
      <c r="N7" s="202">
        <v>35.759342645416702</v>
      </c>
      <c r="O7" s="202">
        <f t="shared" si="0"/>
        <v>50.687709755269609</v>
      </c>
      <c r="P7" s="202">
        <f t="shared" si="1"/>
        <v>1282.1963059693001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26.830516561749999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26.830516561749999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225.62567305210999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225.62567305210999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52.990345660240003</v>
      </c>
      <c r="M14" s="202">
        <v>0</v>
      </c>
      <c r="N14" s="202">
        <v>0</v>
      </c>
      <c r="O14" s="202">
        <f t="shared" si="0"/>
        <v>0</v>
      </c>
      <c r="P14" s="202">
        <f t="shared" si="1"/>
        <v>52.990345660240003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15.80235820271</v>
      </c>
      <c r="M15" s="202">
        <v>0</v>
      </c>
      <c r="N15" s="202">
        <v>0</v>
      </c>
      <c r="O15" s="202">
        <f t="shared" si="0"/>
        <v>0</v>
      </c>
      <c r="P15" s="202">
        <f t="shared" si="1"/>
        <v>15.80235820271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5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1.2947859618499999</v>
      </c>
      <c r="D17" s="196">
        <v>84.892864007998895</v>
      </c>
      <c r="E17" s="196">
        <v>0</v>
      </c>
      <c r="F17" s="196">
        <v>1.2947859636000001</v>
      </c>
      <c r="G17" s="196">
        <v>1000.0000013515699</v>
      </c>
      <c r="H17" s="196">
        <v>744</v>
      </c>
      <c r="I17" s="196">
        <v>33.25</v>
      </c>
      <c r="J17" s="202">
        <v>43.0516332897</v>
      </c>
      <c r="K17" s="202">
        <v>0</v>
      </c>
      <c r="L17" s="202">
        <v>0</v>
      </c>
      <c r="M17" s="202">
        <v>0</v>
      </c>
      <c r="N17" s="202">
        <v>33.250000044939902</v>
      </c>
      <c r="O17" s="202">
        <f t="shared" si="0"/>
        <v>33.25000004493986</v>
      </c>
      <c r="P17" s="202">
        <f t="shared" si="1"/>
        <v>43.0516332897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5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5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x14ac:dyDescent="0.25">
      <c r="A20" s="196">
        <v>18</v>
      </c>
      <c r="B20" s="197" t="s">
        <v>204</v>
      </c>
      <c r="C20" s="198">
        <v>-5.5292195065899996</v>
      </c>
      <c r="D20" s="196">
        <v>0.74317466486424699</v>
      </c>
      <c r="E20" s="196"/>
      <c r="F20" s="196"/>
      <c r="G20" s="196"/>
      <c r="H20" s="196"/>
      <c r="I20" s="196"/>
      <c r="J20" s="203">
        <v>-146.85607009533999</v>
      </c>
      <c r="O20" s="202">
        <f t="shared" si="0"/>
        <v>26.560000000055993</v>
      </c>
      <c r="P20" s="202">
        <f t="shared" si="1"/>
        <v>-146.85607009533999</v>
      </c>
    </row>
    <row r="21" spans="1:16" x14ac:dyDescent="0.25">
      <c r="A21" s="196">
        <v>19</v>
      </c>
      <c r="B21" s="197" t="s">
        <v>205</v>
      </c>
      <c r="C21" s="198">
        <v>47.552350854849998</v>
      </c>
      <c r="D21" s="196">
        <v>25.5657800294893</v>
      </c>
      <c r="E21" s="196">
        <v>2</v>
      </c>
      <c r="F21" s="196">
        <v>47.552350853699998</v>
      </c>
      <c r="G21" s="196">
        <v>999.99999997581597</v>
      </c>
      <c r="H21" s="196">
        <v>532</v>
      </c>
      <c r="I21" s="196">
        <v>26.559999999998901</v>
      </c>
      <c r="J21" s="203">
        <v>1262.9904386742201</v>
      </c>
      <c r="K21" s="203">
        <v>0</v>
      </c>
      <c r="L21" s="203">
        <v>0</v>
      </c>
      <c r="M21" s="203">
        <v>0</v>
      </c>
      <c r="N21" s="202">
        <v>26.559999999356599</v>
      </c>
      <c r="O21" s="202">
        <f t="shared" si="0"/>
        <v>26.559999999356585</v>
      </c>
      <c r="P21" s="202">
        <f t="shared" si="1"/>
        <v>1262.9904386742201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10.82876712319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9">
        <v>0</v>
      </c>
      <c r="E23" s="200">
        <v>0</v>
      </c>
      <c r="F23" s="201">
        <v>0</v>
      </c>
      <c r="G23" s="200">
        <v>0</v>
      </c>
      <c r="H23" s="200">
        <v>0</v>
      </c>
      <c r="I23" s="202">
        <v>0</v>
      </c>
      <c r="J23" s="202">
        <v>0</v>
      </c>
      <c r="K23" s="202">
        <v>0</v>
      </c>
      <c r="L23" s="202">
        <v>10.191780821989999</v>
      </c>
      <c r="M23" s="202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s="196" customFormat="1" x14ac:dyDescent="0.25">
      <c r="A24" s="196">
        <v>22</v>
      </c>
      <c r="B24" s="197" t="s">
        <v>208</v>
      </c>
      <c r="C24" s="198">
        <v>6.7729701000000002</v>
      </c>
      <c r="D24" s="196">
        <v>46.375213629566304</v>
      </c>
      <c r="E24" s="196">
        <v>130</v>
      </c>
      <c r="F24" s="196">
        <v>0</v>
      </c>
      <c r="G24" s="196">
        <v>0</v>
      </c>
      <c r="H24" s="196">
        <v>675</v>
      </c>
      <c r="I24" s="196">
        <v>0</v>
      </c>
      <c r="J24" s="202">
        <v>0</v>
      </c>
      <c r="K24" s="202">
        <v>0</v>
      </c>
      <c r="L24" s="202">
        <v>35.967207330119997</v>
      </c>
      <c r="M24" s="202">
        <v>0</v>
      </c>
      <c r="N24" s="202">
        <v>0</v>
      </c>
      <c r="O24" s="202">
        <f t="shared" si="0"/>
        <v>5.3104039733055952</v>
      </c>
      <c r="P24" s="202">
        <f t="shared" si="1"/>
        <v>35.967207330119997</v>
      </c>
    </row>
    <row r="25" spans="1:16" s="196" customFormat="1" x14ac:dyDescent="0.25">
      <c r="A25" s="196">
        <v>23</v>
      </c>
      <c r="B25" s="197" t="s">
        <v>209</v>
      </c>
      <c r="C25" s="198">
        <v>12.4884</v>
      </c>
      <c r="D25" s="196">
        <v>55.581072420422998</v>
      </c>
      <c r="E25" s="196">
        <v>220</v>
      </c>
      <c r="F25" s="196">
        <v>0</v>
      </c>
      <c r="G25" s="196">
        <v>0</v>
      </c>
      <c r="H25" s="196">
        <v>679</v>
      </c>
      <c r="I25" s="196">
        <v>0</v>
      </c>
      <c r="J25" s="202">
        <v>0</v>
      </c>
      <c r="K25" s="202">
        <v>0</v>
      </c>
      <c r="L25" s="202">
        <v>52.166551660240003</v>
      </c>
      <c r="M25" s="202">
        <v>0</v>
      </c>
      <c r="N25" s="202">
        <v>0</v>
      </c>
      <c r="O25" s="202">
        <f t="shared" si="0"/>
        <v>4.1772005749527565</v>
      </c>
      <c r="P25" s="202">
        <f t="shared" si="1"/>
        <v>52.166551660240003</v>
      </c>
    </row>
    <row r="26" spans="1:16" s="196" customFormat="1" x14ac:dyDescent="0.25">
      <c r="A26" s="196">
        <v>24</v>
      </c>
      <c r="B26" s="197" t="s">
        <v>210</v>
      </c>
      <c r="C26" s="198">
        <v>3.1248</v>
      </c>
      <c r="D26" s="196">
        <v>87.500000000000099</v>
      </c>
      <c r="E26" s="196">
        <v>0</v>
      </c>
      <c r="F26" s="196">
        <v>3.1248</v>
      </c>
      <c r="G26" s="196">
        <v>1000</v>
      </c>
      <c r="H26" s="196">
        <v>744</v>
      </c>
      <c r="I26" s="196">
        <v>7.77</v>
      </c>
      <c r="J26" s="202">
        <v>24.279696000000001</v>
      </c>
      <c r="K26" s="202">
        <v>0</v>
      </c>
      <c r="L26" s="202">
        <v>48.703520087649999</v>
      </c>
      <c r="M26" s="202">
        <v>0</v>
      </c>
      <c r="N26" s="202">
        <v>7.77</v>
      </c>
      <c r="O26" s="202">
        <f t="shared" si="0"/>
        <v>23.356123939980158</v>
      </c>
      <c r="P26" s="202">
        <f t="shared" si="1"/>
        <v>72.983216087649993</v>
      </c>
    </row>
    <row r="27" spans="1:16" s="196" customFormat="1" x14ac:dyDescent="0.25">
      <c r="A27" s="196">
        <v>25</v>
      </c>
      <c r="B27" s="197" t="s">
        <v>211</v>
      </c>
      <c r="C27" s="198">
        <v>71.355174000000005</v>
      </c>
      <c r="D27" s="196">
        <v>63.938327956989298</v>
      </c>
      <c r="E27" s="196">
        <v>360</v>
      </c>
      <c r="F27" s="196">
        <v>0</v>
      </c>
      <c r="G27" s="196">
        <v>0</v>
      </c>
      <c r="H27" s="196">
        <v>718</v>
      </c>
      <c r="I27" s="196">
        <v>0</v>
      </c>
      <c r="J27" s="202">
        <v>0</v>
      </c>
      <c r="K27" s="202">
        <v>0</v>
      </c>
      <c r="L27" s="202">
        <v>268.73687671235001</v>
      </c>
      <c r="M27" s="202">
        <v>0</v>
      </c>
      <c r="N27" s="202">
        <v>0</v>
      </c>
      <c r="O27" s="202">
        <f t="shared" si="0"/>
        <v>3.7661862714026877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332.78199400000995</v>
      </c>
      <c r="D28" s="196"/>
      <c r="E28" s="196"/>
      <c r="F28" s="196"/>
      <c r="G28" s="196"/>
      <c r="H28" s="196"/>
      <c r="I28" s="196"/>
      <c r="J28" s="203">
        <f t="shared" ref="J28:P28" si="2">SUM(J3:J27)</f>
        <v>6274.9649264966592</v>
      </c>
      <c r="K28" s="203">
        <f t="shared" si="2"/>
        <v>2</v>
      </c>
      <c r="L28" s="203">
        <f t="shared" si="2"/>
        <v>2327.0408281382502</v>
      </c>
      <c r="M28" s="203">
        <f t="shared" si="2"/>
        <v>1057.5561919408101</v>
      </c>
      <c r="N28" s="202">
        <f>(J28+M28)/C28</f>
        <v>22.034008001157808</v>
      </c>
      <c r="O28" s="202">
        <f t="shared" si="0"/>
        <v>29.032706458797858</v>
      </c>
      <c r="P28" s="202">
        <f t="shared" si="2"/>
        <v>9661.561946575719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DAY("12/31/2020") * 24</f>
        <v>744</v>
      </c>
      <c r="D43" s="213">
        <f>IF($C$44=0,0,C43/$C$44)</f>
        <v>1</v>
      </c>
      <c r="E43" s="236">
        <v>26.6095297466786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26.6095297466786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68.740717500000002</v>
      </c>
      <c r="D52" s="202">
        <v>1.7849191316666699</v>
      </c>
      <c r="E52" s="202">
        <v>1290.54153792441</v>
      </c>
      <c r="F52" s="201">
        <v>723.02521444298998</v>
      </c>
      <c r="G52" s="202">
        <v>5.6314703388099998</v>
      </c>
      <c r="H52" s="202">
        <v>43740.182361947365</v>
      </c>
      <c r="I52" s="202">
        <f>IF(F52=0,0,J52/F52)</f>
        <v>1.7927078922991313</v>
      </c>
      <c r="J52" s="202">
        <f>$E52+$G52</f>
        <v>1296.17300826322</v>
      </c>
    </row>
    <row r="53" spans="1:16" s="196" customFormat="1" x14ac:dyDescent="0.25">
      <c r="A53" s="196">
        <v>2</v>
      </c>
      <c r="B53" s="197" t="s">
        <v>230</v>
      </c>
      <c r="C53" s="198">
        <v>59.956732500000001</v>
      </c>
      <c r="D53" s="202">
        <v>1.9367654516666699</v>
      </c>
      <c r="E53" s="202">
        <v>1316.7110424914999</v>
      </c>
      <c r="F53" s="201">
        <v>679.85054225394003</v>
      </c>
      <c r="G53" s="202">
        <v>3.2190838897399998</v>
      </c>
      <c r="H53" s="202">
        <v>49264.532047386958</v>
      </c>
      <c r="I53" s="202">
        <f t="shared" ref="I53:I69" si="3">IF(F53=0,0,J53/F53)</f>
        <v>1.9415004392071444</v>
      </c>
      <c r="J53" s="202">
        <f t="shared" ref="J53:J69" si="4">$E53+$G53</f>
        <v>1319.9301263812399</v>
      </c>
    </row>
    <row r="54" spans="1:16" s="196" customFormat="1" x14ac:dyDescent="0.25">
      <c r="A54" s="196">
        <v>3</v>
      </c>
      <c r="B54" s="197" t="s">
        <v>231</v>
      </c>
      <c r="C54" s="198">
        <v>4.2067325898999997</v>
      </c>
      <c r="D54" s="202">
        <v>3.06753034458333</v>
      </c>
      <c r="E54" s="202">
        <v>266.11854195042997</v>
      </c>
      <c r="F54" s="201">
        <v>86.753352715299997</v>
      </c>
      <c r="G54" s="202">
        <v>11.10216380995</v>
      </c>
      <c r="H54" s="202">
        <v>6179.0137261609689</v>
      </c>
      <c r="I54" s="202">
        <f t="shared" si="3"/>
        <v>3.1955042322126737</v>
      </c>
      <c r="J54" s="202">
        <f t="shared" si="4"/>
        <v>277.22070576037999</v>
      </c>
    </row>
    <row r="55" spans="1:16" s="196" customFormat="1" x14ac:dyDescent="0.25">
      <c r="A55" s="196">
        <v>4</v>
      </c>
      <c r="B55" s="197" t="s">
        <v>232</v>
      </c>
      <c r="C55" s="198">
        <v>37.166519999999998</v>
      </c>
      <c r="D55" s="202">
        <v>3.07179737458334</v>
      </c>
      <c r="E55" s="202">
        <v>1472.9157717144899</v>
      </c>
      <c r="F55" s="201">
        <v>479.49639643898001</v>
      </c>
      <c r="G55" s="202">
        <v>61.36301794549</v>
      </c>
      <c r="H55" s="202">
        <v>34152.164988531338</v>
      </c>
      <c r="I55" s="202">
        <f t="shared" si="3"/>
        <v>3.1997712622126655</v>
      </c>
      <c r="J55" s="202">
        <f t="shared" si="4"/>
        <v>1534.2787896599798</v>
      </c>
    </row>
    <row r="56" spans="1:16" s="196" customFormat="1" x14ac:dyDescent="0.25">
      <c r="A56" s="196">
        <v>5</v>
      </c>
      <c r="B56" s="197" t="s">
        <v>233</v>
      </c>
      <c r="C56" s="198">
        <v>25.227700800000001</v>
      </c>
      <c r="D56" s="202">
        <v>2.01333391208333</v>
      </c>
      <c r="E56" s="202">
        <v>673.04195030685901</v>
      </c>
      <c r="F56" s="201">
        <v>334.29226330110998</v>
      </c>
      <c r="G56" s="202">
        <v>15.81565522026</v>
      </c>
      <c r="H56" s="202">
        <v>25191.579751402413</v>
      </c>
      <c r="I56" s="202">
        <f t="shared" si="3"/>
        <v>2.0606447744997269</v>
      </c>
      <c r="J56" s="202">
        <f t="shared" si="4"/>
        <v>688.85760552711906</v>
      </c>
    </row>
    <row r="57" spans="1:16" s="196" customFormat="1" x14ac:dyDescent="0.25">
      <c r="A57" s="196">
        <v>6</v>
      </c>
      <c r="B57" s="197" t="s">
        <v>234</v>
      </c>
      <c r="C57" s="198">
        <v>3.3480000000000003E-2</v>
      </c>
      <c r="D57" s="202">
        <v>3.2768701629166701</v>
      </c>
      <c r="E57" s="202">
        <v>1.4153965482699999</v>
      </c>
      <c r="F57" s="201">
        <v>0.43193549888999999</v>
      </c>
      <c r="G57" s="202">
        <v>0</v>
      </c>
      <c r="H57" s="202">
        <v>387.73384101436267</v>
      </c>
      <c r="I57" s="202">
        <f t="shared" si="3"/>
        <v>3.2768701621129215</v>
      </c>
      <c r="J57" s="202">
        <f t="shared" si="4"/>
        <v>1.4153965482699999</v>
      </c>
    </row>
    <row r="58" spans="1:16" s="196" customFormat="1" x14ac:dyDescent="0.25">
      <c r="A58" s="196">
        <v>7</v>
      </c>
      <c r="B58" s="197" t="s">
        <v>235</v>
      </c>
      <c r="C58" s="198">
        <v>6.8299200000000004E-2</v>
      </c>
      <c r="D58" s="202">
        <v>2.2485355650000001</v>
      </c>
      <c r="E58" s="202">
        <v>2.0349982116000001</v>
      </c>
      <c r="F58" s="201">
        <v>0.90503269919999996</v>
      </c>
      <c r="G58" s="202">
        <v>0</v>
      </c>
      <c r="H58" s="202">
        <v>748.57956923076915</v>
      </c>
      <c r="I58" s="202">
        <f t="shared" si="3"/>
        <v>2.2485355649567453</v>
      </c>
      <c r="J58" s="202">
        <f t="shared" si="4"/>
        <v>2.0349982116000001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0.17228250000000001</v>
      </c>
      <c r="D67" s="202">
        <v>18.714285709999999</v>
      </c>
      <c r="E67" s="202">
        <v>33.912031174500001</v>
      </c>
      <c r="F67" s="201">
        <v>1.81209326929</v>
      </c>
      <c r="G67" s="202">
        <v>0</v>
      </c>
      <c r="H67" s="202">
        <v>12943.523352071428</v>
      </c>
      <c r="I67" s="202">
        <f t="shared" si="3"/>
        <v>18.714285709911138</v>
      </c>
      <c r="J67" s="202">
        <f t="shared" si="4"/>
        <v>33.912031174500001</v>
      </c>
    </row>
    <row r="68" spans="1:21" s="196" customFormat="1" x14ac:dyDescent="0.25">
      <c r="A68" s="196">
        <v>17</v>
      </c>
      <c r="B68" s="197" t="s">
        <v>242</v>
      </c>
      <c r="C68" s="198">
        <v>0.1502675</v>
      </c>
      <c r="D68" s="202">
        <v>20.428571430000002</v>
      </c>
      <c r="E68" s="202">
        <v>34.807958306250001</v>
      </c>
      <c r="F68" s="201">
        <v>1.7038860708000001</v>
      </c>
      <c r="G68" s="202">
        <v>0</v>
      </c>
      <c r="H68" s="202">
        <v>12170.614791428572</v>
      </c>
      <c r="I68" s="202">
        <f t="shared" si="3"/>
        <v>20.42857143019377</v>
      </c>
      <c r="J68" s="202">
        <f t="shared" si="4"/>
        <v>34.807958306250001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12/1/2020&amp;CMontana-Dakota Utility Co.
Plexos V6.400
Plexos by Month - 2020 Operating Plan - Base Model - V-1 - Run 1&amp;RPage 23
8/21/2019
11:08:38 AM</oddHeader>
    <oddFooter>&amp;RPage 23
8/21/2019
11:08:38 AM&amp;C
Plexos V6.400
Plexos by Month - 2020 Operating Plan - Base Model - V-1 - Run 1&amp;L
Month Beginning: 12/1/2020</oddFooter>
    <evenHeader>&amp;L
Month Beginning: 12/1/2020&amp;CMontana-Dakota Utility Co.
Plexos V6.400
Plexos by Month - 2020 Operating Plan - Base Model - V-1 - Run 1&amp;RPage 24
8/21/2019
11:08:38 AM</evenHeader>
    <evenFooter>&amp;RPage 24
8/21/2019
11:08:38 AM&amp;C
Plexos V6.400
Plexos by Month - 2020 Operating Plan - Base Model - V-1 - Run 1&amp;L
Month Beginning: 12/1/2020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AE5B-A56E-42D3-B01D-FE76A5ADD891}">
  <sheetPr transitionEvaluation="1" transitionEntry="1"/>
  <dimension ref="A1:P52"/>
  <sheetViews>
    <sheetView showGridLines="0" workbookViewId="0"/>
  </sheetViews>
  <sheetFormatPr defaultColWidth="11" defaultRowHeight="12" x14ac:dyDescent="0.15"/>
  <cols>
    <col min="1" max="1" width="8.375" customWidth="1"/>
    <col min="2" max="2" width="4.125" customWidth="1"/>
    <col min="3" max="3" width="2.75" customWidth="1"/>
    <col min="4" max="4" width="4.125" customWidth="1"/>
    <col min="5" max="5" width="5.375" customWidth="1"/>
    <col min="6" max="6" width="4.625" customWidth="1"/>
    <col min="7" max="7" width="2.125" customWidth="1"/>
    <col min="8" max="8" width="7.5" customWidth="1"/>
    <col min="9" max="9" width="4.625" customWidth="1"/>
    <col min="10" max="10" width="1.625" customWidth="1"/>
    <col min="11" max="11" width="5.5" customWidth="1"/>
    <col min="12" max="12" width="8.5" customWidth="1"/>
    <col min="13" max="13" width="2.75" customWidth="1"/>
    <col min="14" max="14" width="13.375" customWidth="1"/>
    <col min="15" max="15" width="8.5" customWidth="1"/>
    <col min="16" max="16" width="5.375" customWidth="1"/>
  </cols>
  <sheetData>
    <row r="1" spans="1:16" ht="15.7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5"/>
      <c r="P1" s="134"/>
    </row>
    <row r="3" spans="1:16" ht="12.75" x14ac:dyDescent="0.2">
      <c r="A3" s="136" t="s">
        <v>116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7"/>
    </row>
    <row r="4" spans="1:16" ht="12.75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5" x14ac:dyDescent="0.2">
      <c r="A5" s="138" t="s">
        <v>117</v>
      </c>
      <c r="B5" s="137"/>
      <c r="C5" s="134"/>
      <c r="D5" s="138" t="s">
        <v>13</v>
      </c>
      <c r="E5" s="134"/>
      <c r="F5" s="134"/>
      <c r="G5" s="134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customHeight="1" x14ac:dyDescent="0.2">
      <c r="A6" s="138" t="s">
        <v>118</v>
      </c>
      <c r="B6" s="137"/>
      <c r="C6" s="134"/>
      <c r="D6" s="138" t="s">
        <v>119</v>
      </c>
      <c r="E6" s="134"/>
      <c r="F6" s="134"/>
      <c r="G6" s="134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1.25" customHeight="1" x14ac:dyDescent="0.2">
      <c r="A7" s="137"/>
      <c r="B7" s="137"/>
      <c r="C7" s="134"/>
      <c r="D7" s="138" t="s">
        <v>120</v>
      </c>
      <c r="E7" s="134"/>
      <c r="F7" s="134"/>
      <c r="G7" s="134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3.5" customHeight="1" x14ac:dyDescent="0.2">
      <c r="A8" s="137"/>
      <c r="B8" s="137"/>
      <c r="C8" s="134"/>
      <c r="D8" s="137"/>
      <c r="E8" s="134"/>
      <c r="F8" s="134"/>
      <c r="G8" s="134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3.5" customHeight="1" x14ac:dyDescent="0.2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5" x14ac:dyDescent="0.2">
      <c r="A10" s="139" t="s">
        <v>121</v>
      </c>
      <c r="B10" s="136"/>
      <c r="C10" s="137"/>
      <c r="D10" s="137"/>
      <c r="E10" s="137"/>
      <c r="F10" s="137"/>
      <c r="G10" s="140" t="s">
        <v>122</v>
      </c>
      <c r="H10" s="137"/>
      <c r="I10" s="137"/>
      <c r="J10" s="137"/>
      <c r="K10" s="134"/>
      <c r="L10" s="137"/>
      <c r="M10" s="137"/>
      <c r="N10" s="141" t="s">
        <v>123</v>
      </c>
      <c r="O10" s="142"/>
      <c r="P10" s="137"/>
    </row>
    <row r="11" spans="1:16" ht="15" x14ac:dyDescent="0.2">
      <c r="A11" s="143"/>
      <c r="B11" s="143"/>
      <c r="C11" s="137"/>
      <c r="D11" s="144"/>
      <c r="E11" s="145"/>
      <c r="F11" s="145"/>
      <c r="G11" s="145"/>
      <c r="H11" s="145"/>
      <c r="I11" s="145"/>
      <c r="J11" s="145"/>
      <c r="K11" s="146"/>
      <c r="L11" s="145"/>
      <c r="M11" s="137"/>
      <c r="N11" s="147"/>
      <c r="O11" s="148"/>
      <c r="P11" s="137"/>
    </row>
    <row r="12" spans="1:16" ht="15" x14ac:dyDescent="0.2">
      <c r="A12" s="143">
        <v>3</v>
      </c>
      <c r="B12" s="143"/>
      <c r="C12" s="137"/>
      <c r="D12" s="144" t="s">
        <v>124</v>
      </c>
      <c r="E12" s="145"/>
      <c r="F12" s="145"/>
      <c r="G12" s="145"/>
      <c r="H12" s="145"/>
      <c r="I12" s="145"/>
      <c r="J12" s="145"/>
      <c r="K12" s="146"/>
      <c r="L12" s="145"/>
      <c r="M12" s="137"/>
      <c r="N12" s="147" t="s">
        <v>125</v>
      </c>
      <c r="O12" s="148"/>
      <c r="P12" s="137"/>
    </row>
    <row r="13" spans="1:16" ht="15" x14ac:dyDescent="0.2">
      <c r="A13" s="143">
        <v>3</v>
      </c>
      <c r="B13" s="143"/>
      <c r="C13" s="137"/>
      <c r="D13" s="144" t="s">
        <v>126</v>
      </c>
      <c r="E13" s="145"/>
      <c r="F13" s="145"/>
      <c r="G13" s="145"/>
      <c r="H13" s="145"/>
      <c r="I13" s="145"/>
      <c r="J13" s="145"/>
      <c r="K13" s="146"/>
      <c r="L13" s="145"/>
      <c r="M13" s="137"/>
      <c r="N13" s="147" t="s">
        <v>127</v>
      </c>
      <c r="O13" s="148"/>
      <c r="P13" s="137"/>
    </row>
    <row r="14" spans="1:16" ht="15" x14ac:dyDescent="0.2">
      <c r="A14" s="143">
        <v>3</v>
      </c>
      <c r="B14" s="143"/>
      <c r="C14" s="137"/>
      <c r="D14" s="144" t="s">
        <v>126</v>
      </c>
      <c r="E14" s="145"/>
      <c r="F14" s="145"/>
      <c r="G14" s="145"/>
      <c r="H14" s="145"/>
      <c r="I14" s="145"/>
      <c r="J14" s="145"/>
      <c r="K14" s="146"/>
      <c r="L14" s="145"/>
      <c r="M14" s="137"/>
      <c r="N14" s="147" t="s">
        <v>128</v>
      </c>
      <c r="O14" s="148"/>
      <c r="P14" s="137"/>
    </row>
    <row r="15" spans="1:16" ht="15" x14ac:dyDescent="0.2">
      <c r="A15" s="143"/>
      <c r="B15" s="143"/>
      <c r="C15" s="137"/>
      <c r="D15" s="144"/>
      <c r="E15" s="145"/>
      <c r="F15" s="145"/>
      <c r="G15" s="145"/>
      <c r="H15" s="145"/>
      <c r="I15" s="145"/>
      <c r="J15" s="145"/>
      <c r="K15" s="146"/>
      <c r="L15" s="145"/>
      <c r="M15" s="137"/>
      <c r="N15" s="147"/>
      <c r="O15" s="148"/>
      <c r="P15" s="137"/>
    </row>
    <row r="16" spans="1:16" ht="15" x14ac:dyDescent="0.2">
      <c r="A16" s="143"/>
      <c r="B16" s="143"/>
      <c r="C16" s="137"/>
      <c r="D16" s="144"/>
      <c r="E16" s="145"/>
      <c r="F16" s="145"/>
      <c r="G16" s="145"/>
      <c r="H16" s="145"/>
      <c r="I16" s="145"/>
      <c r="J16" s="145"/>
      <c r="K16" s="146"/>
      <c r="L16" s="145"/>
      <c r="M16" s="137"/>
      <c r="N16" s="147"/>
      <c r="O16" s="148"/>
      <c r="P16" s="137"/>
    </row>
    <row r="17" spans="1:16" ht="15" x14ac:dyDescent="0.2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7"/>
    </row>
    <row r="18" spans="1:16" ht="12.75" x14ac:dyDescent="0.2">
      <c r="A18" s="138" t="s">
        <v>129</v>
      </c>
      <c r="B18" s="144" t="s">
        <v>130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37"/>
    </row>
    <row r="19" spans="1:16" ht="12.75" x14ac:dyDescent="0.2">
      <c r="A19" s="137"/>
      <c r="B19" s="138" t="s">
        <v>131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</row>
    <row r="20" spans="1:16" ht="12.75" x14ac:dyDescent="0.2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</row>
    <row r="21" spans="1:16" ht="12.75" x14ac:dyDescent="0.2">
      <c r="A21" s="138" t="s">
        <v>132</v>
      </c>
      <c r="B21" s="137"/>
      <c r="C21" s="149"/>
      <c r="D21" s="144" t="s">
        <v>133</v>
      </c>
      <c r="E21" s="150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37"/>
    </row>
    <row r="22" spans="1:16" ht="12.75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</row>
    <row r="23" spans="1:16" ht="12.75" x14ac:dyDescent="0.2">
      <c r="A23" s="138" t="s">
        <v>134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44" t="s">
        <v>135</v>
      </c>
      <c r="O23" s="145"/>
      <c r="P23" s="137"/>
    </row>
    <row r="24" spans="1:16" ht="12.75" x14ac:dyDescent="0.2">
      <c r="A24" s="138" t="s">
        <v>136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44" t="s">
        <v>135</v>
      </c>
      <c r="O24" s="145"/>
      <c r="P24" s="137"/>
    </row>
    <row r="25" spans="1:16" ht="12.75" x14ac:dyDescent="0.2">
      <c r="A25" s="138" t="s">
        <v>137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51" t="s">
        <v>138</v>
      </c>
      <c r="O25" s="145"/>
      <c r="P25" s="137"/>
    </row>
    <row r="26" spans="1:16" ht="12.75" x14ac:dyDescent="0.2">
      <c r="A26" s="138" t="s">
        <v>139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52"/>
      <c r="O26" s="145"/>
      <c r="P26" s="137"/>
    </row>
    <row r="27" spans="1:16" ht="13.5" customHeight="1" thickBot="1" x14ac:dyDescent="0.25">
      <c r="A27" s="137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  <row r="28" spans="1:16" ht="13.5" thickTop="1" x14ac:dyDescent="0.2">
      <c r="A28" s="153" t="s">
        <v>140</v>
      </c>
      <c r="B28" s="154" t="s">
        <v>141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6"/>
      <c r="P28" s="137"/>
    </row>
    <row r="29" spans="1:16" ht="11.25" customHeight="1" x14ac:dyDescent="0.2">
      <c r="A29" s="157" t="s">
        <v>142</v>
      </c>
      <c r="B29" s="158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59"/>
      <c r="P29" s="137"/>
    </row>
    <row r="30" spans="1:16" ht="15" x14ac:dyDescent="0.2">
      <c r="A30" s="160"/>
      <c r="B30" s="161" t="s">
        <v>143</v>
      </c>
      <c r="C30" s="143"/>
      <c r="D30" s="143"/>
      <c r="E30" s="143"/>
      <c r="F30" s="143"/>
      <c r="G30" s="143" t="s">
        <v>144</v>
      </c>
      <c r="H30" s="162"/>
      <c r="I30" s="143"/>
      <c r="J30" s="143"/>
      <c r="K30" s="143"/>
      <c r="L30" s="143" t="s">
        <v>145</v>
      </c>
      <c r="M30" s="162"/>
      <c r="N30" s="143"/>
      <c r="O30" s="163"/>
      <c r="P30" s="137"/>
    </row>
    <row r="31" spans="1:16" ht="15" x14ac:dyDescent="0.2">
      <c r="A31" s="160"/>
      <c r="B31" s="164" t="s">
        <v>146</v>
      </c>
      <c r="C31" s="136"/>
      <c r="D31" s="136"/>
      <c r="E31" s="164" t="s">
        <v>147</v>
      </c>
      <c r="F31" s="136"/>
      <c r="G31" s="164" t="s">
        <v>146</v>
      </c>
      <c r="H31" s="136"/>
      <c r="I31" s="164" t="s">
        <v>148</v>
      </c>
      <c r="J31" s="136"/>
      <c r="K31" s="165"/>
      <c r="L31" s="164" t="s">
        <v>146</v>
      </c>
      <c r="M31" s="165"/>
      <c r="N31" s="164" t="s">
        <v>147</v>
      </c>
      <c r="O31" s="166"/>
      <c r="P31" s="137"/>
    </row>
    <row r="32" spans="1:16" ht="11.25" customHeight="1" x14ac:dyDescent="0.2">
      <c r="A32" s="160"/>
      <c r="B32" s="167" t="s">
        <v>149</v>
      </c>
      <c r="C32" s="143"/>
      <c r="D32" s="143"/>
      <c r="E32" s="167" t="s">
        <v>150</v>
      </c>
      <c r="F32" s="143"/>
      <c r="G32" s="167" t="s">
        <v>149</v>
      </c>
      <c r="H32" s="143"/>
      <c r="I32" s="167" t="s">
        <v>150</v>
      </c>
      <c r="J32" s="143"/>
      <c r="K32" s="162"/>
      <c r="L32" s="167" t="s">
        <v>149</v>
      </c>
      <c r="M32" s="162"/>
      <c r="N32" s="167" t="s">
        <v>150</v>
      </c>
      <c r="O32" s="163"/>
      <c r="P32" s="137"/>
    </row>
    <row r="33" spans="1:16" ht="15.95" customHeight="1" thickBot="1" x14ac:dyDescent="0.25">
      <c r="A33" s="168" t="s">
        <v>151</v>
      </c>
      <c r="B33" s="169"/>
      <c r="C33" s="170"/>
      <c r="D33" s="171"/>
      <c r="E33" s="169"/>
      <c r="F33" s="170"/>
      <c r="G33" s="172"/>
      <c r="H33" s="171">
        <v>1</v>
      </c>
      <c r="I33" s="169"/>
      <c r="J33" s="173"/>
      <c r="K33" s="174"/>
      <c r="L33" s="175" t="s">
        <v>135</v>
      </c>
      <c r="M33" s="174"/>
      <c r="N33" s="169"/>
      <c r="O33" s="176"/>
      <c r="P33" s="137"/>
    </row>
    <row r="34" spans="1:16" ht="13.5" thickTop="1" x14ac:dyDescent="0.2">
      <c r="A34" s="138" t="s">
        <v>152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</row>
    <row r="35" spans="1:16" ht="12.75" x14ac:dyDescent="0.2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</row>
    <row r="36" spans="1:16" ht="12.75" x14ac:dyDescent="0.2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</row>
    <row r="37" spans="1:16" ht="15" x14ac:dyDescent="0.2">
      <c r="A37" s="138" t="s">
        <v>153</v>
      </c>
      <c r="B37" s="145"/>
      <c r="C37" s="145"/>
      <c r="D37" s="145"/>
      <c r="E37" s="145"/>
      <c r="F37" s="145"/>
      <c r="G37" s="145"/>
      <c r="H37" s="145"/>
      <c r="I37" s="137"/>
      <c r="J37" s="138" t="s">
        <v>13</v>
      </c>
      <c r="K37" s="137"/>
      <c r="L37" s="137"/>
      <c r="M37" s="137"/>
      <c r="N37" s="134"/>
      <c r="O37" s="137"/>
      <c r="P37" s="137"/>
    </row>
    <row r="38" spans="1:16" ht="11.25" customHeight="1" x14ac:dyDescent="0.2">
      <c r="A38" s="137"/>
      <c r="B38" s="137"/>
      <c r="C38" s="137"/>
      <c r="D38" s="137"/>
      <c r="E38" s="137"/>
      <c r="F38" s="137"/>
      <c r="G38" s="137"/>
      <c r="H38" s="137"/>
      <c r="I38" s="177"/>
      <c r="J38" s="177" t="s">
        <v>154</v>
      </c>
      <c r="K38" s="137"/>
      <c r="L38" s="137"/>
      <c r="M38" s="137"/>
      <c r="N38" s="134"/>
      <c r="O38" s="137"/>
      <c r="P38" s="137"/>
    </row>
    <row r="39" spans="1:16" ht="15" x14ac:dyDescent="0.2">
      <c r="A39" s="137"/>
      <c r="B39" s="137"/>
      <c r="C39" s="137"/>
      <c r="D39" s="137"/>
      <c r="E39" s="137"/>
      <c r="F39" s="137"/>
      <c r="G39" s="137"/>
      <c r="H39" s="137"/>
      <c r="I39" s="137"/>
      <c r="J39" s="134"/>
      <c r="K39" s="137"/>
      <c r="L39" s="137"/>
      <c r="M39" s="137"/>
      <c r="N39" s="137"/>
      <c r="O39" s="137"/>
      <c r="P39" s="137"/>
    </row>
    <row r="40" spans="1:16" ht="15" x14ac:dyDescent="0.2">
      <c r="A40" s="137"/>
      <c r="B40" s="137"/>
      <c r="C40" s="137"/>
      <c r="D40" s="137"/>
      <c r="E40" s="137"/>
      <c r="F40" s="137"/>
      <c r="G40" s="137"/>
      <c r="H40" s="137"/>
      <c r="I40" s="137"/>
      <c r="J40" s="134"/>
      <c r="K40" s="137"/>
      <c r="L40" s="137"/>
      <c r="M40" s="137"/>
      <c r="N40" s="137"/>
      <c r="O40" s="137"/>
      <c r="P40" s="137"/>
    </row>
    <row r="41" spans="1:16" ht="15" x14ac:dyDescent="0.2">
      <c r="A41" s="138" t="s">
        <v>155</v>
      </c>
      <c r="B41" s="145"/>
      <c r="C41" s="145"/>
      <c r="D41" s="145"/>
      <c r="E41" s="145"/>
      <c r="F41" s="145"/>
      <c r="G41" s="145"/>
      <c r="H41" s="145"/>
      <c r="I41" s="134"/>
      <c r="J41" s="177" t="s">
        <v>156</v>
      </c>
      <c r="K41" s="178"/>
      <c r="L41" s="178"/>
      <c r="M41" s="178"/>
      <c r="N41" s="178"/>
      <c r="O41" s="179"/>
      <c r="P41" s="180"/>
    </row>
    <row r="42" spans="1:16" ht="11.25" customHeight="1" x14ac:dyDescent="0.2">
      <c r="A42" s="137"/>
      <c r="B42" s="138" t="s">
        <v>157</v>
      </c>
      <c r="C42" s="137"/>
      <c r="D42" s="137"/>
      <c r="E42" s="137"/>
      <c r="F42" s="137"/>
      <c r="G42" s="137"/>
      <c r="H42" s="137"/>
      <c r="I42" s="137"/>
      <c r="J42" s="138" t="s">
        <v>158</v>
      </c>
      <c r="K42" s="137"/>
      <c r="L42" s="137"/>
      <c r="M42" s="137"/>
      <c r="N42" s="137"/>
      <c r="O42" s="134"/>
      <c r="P42" s="180"/>
    </row>
    <row r="43" spans="1:16" ht="11.25" customHeight="1" x14ac:dyDescent="0.2">
      <c r="A43" s="137"/>
      <c r="B43" s="138" t="s">
        <v>159</v>
      </c>
      <c r="C43" s="137"/>
      <c r="D43" s="137"/>
      <c r="E43" s="137"/>
      <c r="F43" s="137"/>
      <c r="G43" s="137"/>
      <c r="H43" s="137"/>
      <c r="I43" s="137"/>
      <c r="J43" s="177" t="s">
        <v>160</v>
      </c>
      <c r="K43" s="137"/>
      <c r="L43" s="137"/>
      <c r="M43" s="137"/>
      <c r="N43" s="137"/>
      <c r="O43" s="134"/>
      <c r="P43" s="137"/>
    </row>
    <row r="44" spans="1:16" ht="11.25" customHeight="1" x14ac:dyDescent="0.2">
      <c r="A44" s="137"/>
      <c r="B44" s="138" t="s">
        <v>161</v>
      </c>
      <c r="C44" s="137"/>
      <c r="D44" s="137"/>
      <c r="E44" s="137"/>
      <c r="F44" s="137"/>
      <c r="G44" s="137"/>
      <c r="H44" s="137"/>
      <c r="I44" s="137"/>
      <c r="J44" s="134"/>
      <c r="K44" s="134"/>
      <c r="L44" s="137"/>
      <c r="M44" s="137"/>
      <c r="N44" s="137"/>
      <c r="O44" s="137"/>
      <c r="P44" s="137"/>
    </row>
    <row r="45" spans="1:16" ht="12.75" x14ac:dyDescent="0.2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</row>
    <row r="46" spans="1:16" ht="27.75" customHeight="1" x14ac:dyDescent="0.2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</row>
    <row r="47" spans="1:16" ht="12.75" hidden="1" x14ac:dyDescent="0.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</row>
    <row r="48" spans="1:16" ht="12.75" hidden="1" x14ac:dyDescent="0.2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</row>
    <row r="49" spans="1:16" ht="12.75" hidden="1" x14ac:dyDescent="0.2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</row>
    <row r="50" spans="1:16" ht="12.75" hidden="1" x14ac:dyDescent="0.2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</row>
    <row r="51" spans="1:16" ht="15" x14ac:dyDescent="0.2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8" t="s">
        <v>162</v>
      </c>
      <c r="N51" s="134"/>
      <c r="O51" s="137"/>
      <c r="P51" s="137"/>
    </row>
    <row r="52" spans="1:16" ht="15" x14ac:dyDescent="0.2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</row>
  </sheetData>
  <printOptions horizontalCentered="1" gridLinesSet="0"/>
  <pageMargins left="0.77" right="0" top="0.45" bottom="0" header="0.34" footer="0.5"/>
  <pageSetup orientation="portrait" r:id="rId1"/>
  <headerFooter alignWithMargins="0">
    <oddHeader>&amp;R&amp;"Arial,Bold"&amp;10Attachment 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showGridLines="0" zoomScale="110" zoomScaleNormal="110" workbookViewId="0"/>
  </sheetViews>
  <sheetFormatPr defaultColWidth="10.625" defaultRowHeight="12.75" customHeight="1" x14ac:dyDescent="0.2"/>
  <cols>
    <col min="1" max="1" width="2.625" style="1" customWidth="1"/>
    <col min="2" max="2" width="29.25" style="1" customWidth="1"/>
    <col min="3" max="3" width="2.625" style="1" customWidth="1"/>
    <col min="4" max="4" width="20.125" style="1" customWidth="1"/>
    <col min="5" max="5" width="10.25" style="1" bestFit="1" customWidth="1"/>
    <col min="6" max="6" width="2.625" style="1" customWidth="1"/>
    <col min="7" max="7" width="7.125" style="1" customWidth="1"/>
    <col min="8" max="8" width="10.625" style="35"/>
    <col min="9" max="9" width="9" style="35" bestFit="1" customWidth="1"/>
    <col min="10" max="13" width="10.625" style="35"/>
    <col min="14" max="16384" width="10.625" style="1"/>
  </cols>
  <sheetData>
    <row r="1" spans="1:10" ht="12.75" customHeight="1" x14ac:dyDescent="0.2">
      <c r="B1" s="11" t="s">
        <v>13</v>
      </c>
      <c r="C1" s="12"/>
      <c r="D1" s="11"/>
      <c r="E1" s="13"/>
      <c r="F1" s="13"/>
      <c r="G1" s="13"/>
    </row>
    <row r="2" spans="1:10" ht="12.75" customHeight="1" x14ac:dyDescent="0.2">
      <c r="B2" s="11" t="s">
        <v>17</v>
      </c>
      <c r="C2" s="12"/>
      <c r="D2" s="11"/>
      <c r="E2" s="13"/>
      <c r="F2" s="13"/>
      <c r="G2" s="13"/>
    </row>
    <row r="3" spans="1:10" ht="12.75" customHeight="1" x14ac:dyDescent="0.2">
      <c r="B3" s="11" t="s">
        <v>30</v>
      </c>
      <c r="C3" s="12"/>
      <c r="D3" s="11"/>
      <c r="E3" s="13"/>
      <c r="F3" s="13"/>
      <c r="G3" s="13"/>
    </row>
    <row r="4" spans="1:10" ht="12.75" customHeight="1" x14ac:dyDescent="0.2">
      <c r="B4" s="14">
        <v>2022</v>
      </c>
      <c r="C4" s="15"/>
      <c r="D4" s="11"/>
      <c r="E4" s="13"/>
      <c r="F4" s="13"/>
      <c r="G4" s="13"/>
      <c r="I4" s="35">
        <v>2019</v>
      </c>
      <c r="J4" s="35">
        <v>878</v>
      </c>
    </row>
    <row r="5" spans="1:10" ht="12.75" customHeight="1" x14ac:dyDescent="0.2">
      <c r="B5" s="16"/>
      <c r="C5" s="29"/>
      <c r="D5" s="11"/>
      <c r="E5" s="13"/>
      <c r="F5" s="13"/>
      <c r="G5" s="13"/>
      <c r="I5" s="35">
        <v>2020</v>
      </c>
      <c r="J5" s="35">
        <f>ROUND(J4*1.035,2)</f>
        <v>908.73</v>
      </c>
    </row>
    <row r="6" spans="1:10" ht="12.75" customHeight="1" x14ac:dyDescent="0.2">
      <c r="B6" s="17"/>
      <c r="D6" s="17"/>
      <c r="I6" s="35">
        <v>2021</v>
      </c>
      <c r="J6" s="35">
        <f t="shared" ref="J6:J7" si="0">ROUND(J5*1.035,2)</f>
        <v>940.54</v>
      </c>
    </row>
    <row r="7" spans="1:10" ht="12.75" customHeight="1" x14ac:dyDescent="0.2">
      <c r="B7" s="30" t="s">
        <v>8</v>
      </c>
      <c r="D7" s="18"/>
      <c r="I7" s="35">
        <v>2022</v>
      </c>
      <c r="J7" s="35">
        <f t="shared" si="0"/>
        <v>973.46</v>
      </c>
    </row>
    <row r="8" spans="1:10" ht="15" customHeight="1" x14ac:dyDescent="0.2">
      <c r="B8" s="1" t="s">
        <v>14</v>
      </c>
      <c r="D8" s="45">
        <f>+ROUND(J7,0)</f>
        <v>973</v>
      </c>
      <c r="E8" s="41" t="s">
        <v>32</v>
      </c>
      <c r="G8" s="8"/>
    </row>
    <row r="9" spans="1:10" ht="12.75" customHeight="1" x14ac:dyDescent="0.2">
      <c r="B9" s="1" t="s">
        <v>15</v>
      </c>
      <c r="D9" s="39">
        <v>9.2979999999999993E-2</v>
      </c>
      <c r="E9" s="41" t="s">
        <v>33</v>
      </c>
    </row>
    <row r="10" spans="1:10" ht="12.75" customHeight="1" x14ac:dyDescent="0.2">
      <c r="B10" s="8" t="s">
        <v>11</v>
      </c>
      <c r="D10" s="40">
        <f>ROUND(D8*(1+0.035)^(2019-2019)*D9/12,3)</f>
        <v>7.5389999999999997</v>
      </c>
      <c r="E10" s="19" t="s">
        <v>35</v>
      </c>
    </row>
    <row r="11" spans="1:10" ht="12.75" customHeight="1" x14ac:dyDescent="0.2">
      <c r="E11" s="3"/>
    </row>
    <row r="12" spans="1:10" ht="12.75" customHeight="1" x14ac:dyDescent="0.2">
      <c r="B12" s="8"/>
      <c r="C12" s="8"/>
    </row>
    <row r="13" spans="1:10" ht="25.5" customHeight="1" x14ac:dyDescent="0.2">
      <c r="A13" s="42" t="s">
        <v>16</v>
      </c>
      <c r="B13" s="229" t="s">
        <v>39</v>
      </c>
      <c r="C13" s="229"/>
      <c r="D13" s="229"/>
      <c r="E13" s="229"/>
    </row>
    <row r="14" spans="1:10" ht="12.75" customHeight="1" x14ac:dyDescent="0.2">
      <c r="A14" s="43" t="s">
        <v>34</v>
      </c>
      <c r="B14" s="44" t="s">
        <v>37</v>
      </c>
      <c r="C14" s="44"/>
      <c r="D14" s="44"/>
      <c r="E14" s="44"/>
    </row>
    <row r="15" spans="1:10" ht="12.75" customHeight="1" x14ac:dyDescent="0.2">
      <c r="A15" s="43" t="s">
        <v>36</v>
      </c>
      <c r="B15" s="44" t="s">
        <v>40</v>
      </c>
      <c r="C15" s="44"/>
      <c r="D15" s="44"/>
      <c r="E15" s="44"/>
      <c r="F15" s="33"/>
      <c r="G15" s="33"/>
    </row>
    <row r="16" spans="1:10" ht="12.75" customHeight="1" x14ac:dyDescent="0.2">
      <c r="D16" s="33"/>
      <c r="E16" s="33"/>
      <c r="F16" s="33"/>
      <c r="G16" s="33"/>
    </row>
    <row r="17" spans="2:13" ht="12.75" customHeight="1" x14ac:dyDescent="0.2">
      <c r="H17"/>
      <c r="I17"/>
      <c r="J17"/>
      <c r="K17"/>
      <c r="L17"/>
      <c r="M17"/>
    </row>
    <row r="18" spans="2:13" ht="12.75" customHeight="1" x14ac:dyDescent="0.2">
      <c r="H18"/>
      <c r="I18"/>
      <c r="J18"/>
      <c r="K18"/>
      <c r="L18"/>
      <c r="M18"/>
    </row>
    <row r="19" spans="2:13" ht="12.75" customHeight="1" x14ac:dyDescent="0.2">
      <c r="H19"/>
      <c r="I19"/>
      <c r="J19"/>
      <c r="K19"/>
      <c r="L19"/>
      <c r="M19"/>
    </row>
    <row r="20" spans="2:13" ht="12.75" customHeight="1" x14ac:dyDescent="0.2">
      <c r="H20"/>
      <c r="I20"/>
      <c r="J20"/>
      <c r="K20"/>
      <c r="L20"/>
      <c r="M20"/>
    </row>
    <row r="21" spans="2:13" ht="12.75" customHeight="1" x14ac:dyDescent="0.2">
      <c r="H21"/>
      <c r="I21"/>
      <c r="J21"/>
      <c r="K21"/>
      <c r="L21"/>
      <c r="M21"/>
    </row>
    <row r="22" spans="2:13" ht="12.75" customHeight="1" x14ac:dyDescent="0.2">
      <c r="H22"/>
      <c r="I22"/>
      <c r="J22"/>
      <c r="K22"/>
      <c r="L22"/>
      <c r="M22"/>
    </row>
    <row r="23" spans="2:13" ht="12.75" customHeight="1" x14ac:dyDescent="0.2">
      <c r="B23" s="9"/>
      <c r="D23" s="34"/>
      <c r="E23" s="20"/>
      <c r="H23"/>
      <c r="I23"/>
      <c r="J23"/>
      <c r="K23"/>
      <c r="L23"/>
      <c r="M23"/>
    </row>
    <row r="24" spans="2:13" ht="12.75" customHeight="1" x14ac:dyDescent="0.2">
      <c r="E24" s="31"/>
      <c r="H24"/>
      <c r="I24"/>
      <c r="J24"/>
      <c r="K24"/>
      <c r="L24"/>
      <c r="M24"/>
    </row>
    <row r="25" spans="2:13" ht="12.75" customHeight="1" x14ac:dyDescent="0.2">
      <c r="H25"/>
      <c r="I25"/>
      <c r="J25"/>
      <c r="K25"/>
      <c r="L25"/>
      <c r="M25"/>
    </row>
    <row r="26" spans="2:13" ht="12.75" customHeight="1" x14ac:dyDescent="0.2">
      <c r="H26"/>
      <c r="I26"/>
      <c r="J26"/>
      <c r="K26"/>
      <c r="L26"/>
      <c r="M26"/>
    </row>
    <row r="27" spans="2:13" ht="12.75" customHeight="1" x14ac:dyDescent="0.2">
      <c r="H27"/>
      <c r="I27"/>
      <c r="J27"/>
      <c r="K27"/>
      <c r="L27"/>
      <c r="M27"/>
    </row>
    <row r="28" spans="2:13" ht="12.75" customHeight="1" x14ac:dyDescent="0.2">
      <c r="H28"/>
      <c r="I28"/>
      <c r="J28"/>
      <c r="K28"/>
      <c r="L28"/>
      <c r="M28"/>
    </row>
    <row r="29" spans="2:13" ht="12.75" customHeight="1" x14ac:dyDescent="0.2">
      <c r="H29"/>
      <c r="I29"/>
      <c r="J29"/>
      <c r="K29"/>
      <c r="L29"/>
      <c r="M29"/>
    </row>
    <row r="46" spans="8:8" ht="12.75" customHeight="1" x14ac:dyDescent="0.2">
      <c r="H46" s="1"/>
    </row>
  </sheetData>
  <mergeCells count="1">
    <mergeCell ref="B13:E13"/>
  </mergeCells>
  <pageMargins left="0.7" right="0.24" top="1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737F-4F98-44B8-BA04-C910182AB4A1}">
  <sheetPr>
    <pageSetUpPr fitToPage="1"/>
  </sheetPr>
  <dimension ref="A1:AC94"/>
  <sheetViews>
    <sheetView showGridLines="0" zoomScaleNormal="100" workbookViewId="0">
      <pane ySplit="10" topLeftCell="A11" activePane="bottomLeft" state="frozen"/>
      <selection pane="bottomLeft" activeCell="A11" sqref="A11"/>
    </sheetView>
  </sheetViews>
  <sheetFormatPr defaultColWidth="8" defaultRowHeight="12.75" x14ac:dyDescent="0.2"/>
  <cols>
    <col min="1" max="1" width="3.125" style="49" customWidth="1"/>
    <col min="2" max="2" width="6" style="49" customWidth="1"/>
    <col min="3" max="3" width="10" style="49" bestFit="1" customWidth="1"/>
    <col min="4" max="5" width="8.75" style="49" bestFit="1" customWidth="1"/>
    <col min="6" max="6" width="7.125" style="49" bestFit="1" customWidth="1"/>
    <col min="7" max="7" width="8.375" style="49" customWidth="1"/>
    <col min="8" max="8" width="7.125" style="49" bestFit="1" customWidth="1"/>
    <col min="9" max="11" width="9.5" style="49" customWidth="1"/>
    <col min="12" max="12" width="8.125" style="49" bestFit="1" customWidth="1"/>
    <col min="13" max="13" width="1.5" style="49" customWidth="1"/>
    <col min="14" max="14" width="9" style="49" bestFit="1" customWidth="1"/>
    <col min="15" max="15" width="8.375" style="49" bestFit="1" customWidth="1"/>
    <col min="16" max="16" width="8" style="49" bestFit="1" customWidth="1"/>
    <col min="17" max="17" width="7.125" style="49" bestFit="1" customWidth="1"/>
    <col min="18" max="18" width="7.75" style="49" bestFit="1" customWidth="1"/>
    <col min="19" max="19" width="9.875" style="49" customWidth="1"/>
    <col min="20" max="20" width="8.375" style="49" customWidth="1"/>
    <col min="21" max="21" width="3" style="49" customWidth="1"/>
    <col min="22" max="22" width="8" style="49"/>
    <col min="23" max="23" width="11" style="49" bestFit="1" customWidth="1"/>
    <col min="24" max="16384" width="8" style="49"/>
  </cols>
  <sheetData>
    <row r="1" spans="1:29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</row>
    <row r="2" spans="1:29" x14ac:dyDescent="0.2">
      <c r="A2" s="47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29" x14ac:dyDescent="0.2">
      <c r="A3" s="47" t="s">
        <v>41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1:29" s="58" customFormat="1" x14ac:dyDescent="0.2">
      <c r="A4" s="50" t="s">
        <v>103</v>
      </c>
      <c r="B4" s="51"/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  <c r="P4" s="54"/>
      <c r="Q4" s="55"/>
      <c r="R4" s="56"/>
      <c r="S4" s="57"/>
      <c r="T4" s="57"/>
    </row>
    <row r="5" spans="1:29" s="58" customFormat="1" x14ac:dyDescent="0.2">
      <c r="A5" s="57"/>
      <c r="B5" s="51"/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  <c r="P5" s="59"/>
      <c r="Q5" s="55"/>
      <c r="R5" s="56"/>
      <c r="S5" s="57"/>
      <c r="T5" s="57"/>
    </row>
    <row r="6" spans="1:29" s="58" customFormat="1" x14ac:dyDescent="0.2">
      <c r="A6" s="60"/>
      <c r="B6" s="61"/>
      <c r="C6" s="62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4"/>
      <c r="P6" s="65"/>
      <c r="Q6" s="66"/>
      <c r="R6" s="63"/>
      <c r="S6" s="62"/>
      <c r="T6" s="62"/>
    </row>
    <row r="7" spans="1:29" x14ac:dyDescent="0.2">
      <c r="C7" s="67" t="s">
        <v>42</v>
      </c>
      <c r="D7" s="67" t="s">
        <v>43</v>
      </c>
      <c r="E7" s="67" t="s">
        <v>44</v>
      </c>
      <c r="F7" s="67" t="s">
        <v>45</v>
      </c>
      <c r="G7" s="67" t="s">
        <v>46</v>
      </c>
      <c r="H7" s="67" t="s">
        <v>47</v>
      </c>
      <c r="I7" s="67" t="s">
        <v>48</v>
      </c>
      <c r="J7" s="67" t="s">
        <v>49</v>
      </c>
      <c r="K7" s="67" t="s">
        <v>50</v>
      </c>
      <c r="L7" s="67" t="s">
        <v>51</v>
      </c>
      <c r="M7" s="67"/>
      <c r="N7" s="67" t="s">
        <v>52</v>
      </c>
      <c r="O7" s="67" t="s">
        <v>53</v>
      </c>
      <c r="P7" s="68"/>
    </row>
    <row r="8" spans="1:29" s="58" customFormat="1" x14ac:dyDescent="0.2">
      <c r="A8" s="69"/>
      <c r="B8" s="69"/>
      <c r="C8" s="62"/>
      <c r="D8" s="63"/>
      <c r="E8" s="62"/>
      <c r="F8" s="62"/>
      <c r="G8" s="62"/>
      <c r="H8" s="63"/>
      <c r="I8" s="66" t="s">
        <v>54</v>
      </c>
      <c r="J8" s="63"/>
      <c r="K8" s="62" t="s">
        <v>55</v>
      </c>
      <c r="L8" s="62"/>
      <c r="M8" s="62"/>
      <c r="N8" s="63" t="s">
        <v>56</v>
      </c>
      <c r="O8" s="63" t="s">
        <v>57</v>
      </c>
      <c r="P8" s="70"/>
    </row>
    <row r="9" spans="1:29" s="58" customFormat="1" x14ac:dyDescent="0.2">
      <c r="C9" s="62" t="s">
        <v>58</v>
      </c>
      <c r="D9" s="63"/>
      <c r="E9" s="63" t="s">
        <v>59</v>
      </c>
      <c r="F9" s="63"/>
      <c r="G9" s="64" t="s">
        <v>60</v>
      </c>
      <c r="H9" s="63" t="s">
        <v>2</v>
      </c>
      <c r="I9" s="66" t="s">
        <v>61</v>
      </c>
      <c r="J9" s="63" t="s">
        <v>54</v>
      </c>
      <c r="K9" s="71" t="s">
        <v>54</v>
      </c>
      <c r="L9" s="62"/>
      <c r="M9" s="62"/>
      <c r="N9" s="63" t="s">
        <v>62</v>
      </c>
      <c r="O9" s="63" t="s">
        <v>63</v>
      </c>
      <c r="P9" s="70" t="s">
        <v>64</v>
      </c>
      <c r="V9" s="230"/>
      <c r="W9" s="230"/>
      <c r="X9" s="230"/>
      <c r="Y9" s="230"/>
      <c r="Z9" s="72"/>
      <c r="AA9" s="230"/>
      <c r="AB9" s="230"/>
      <c r="AC9" s="72"/>
    </row>
    <row r="10" spans="1:29" s="58" customFormat="1" x14ac:dyDescent="0.2">
      <c r="B10" s="73" t="s">
        <v>65</v>
      </c>
      <c r="C10" s="73" t="s">
        <v>66</v>
      </c>
      <c r="D10" s="74" t="s">
        <v>67</v>
      </c>
      <c r="E10" s="74" t="s">
        <v>62</v>
      </c>
      <c r="F10" s="74" t="s">
        <v>68</v>
      </c>
      <c r="G10" s="75" t="s">
        <v>69</v>
      </c>
      <c r="H10" s="74" t="s">
        <v>70</v>
      </c>
      <c r="I10" s="76" t="s">
        <v>71</v>
      </c>
      <c r="J10" s="74" t="s">
        <v>61</v>
      </c>
      <c r="K10" s="73" t="s">
        <v>61</v>
      </c>
      <c r="L10" s="73" t="s">
        <v>72</v>
      </c>
      <c r="M10" s="77"/>
      <c r="N10" s="74" t="s">
        <v>73</v>
      </c>
      <c r="O10" s="74" t="s">
        <v>56</v>
      </c>
      <c r="P10" s="70" t="s">
        <v>74</v>
      </c>
      <c r="V10" s="77"/>
      <c r="W10" s="77"/>
      <c r="X10" s="77"/>
      <c r="Y10" s="77"/>
      <c r="Z10" s="72"/>
      <c r="AA10" s="72"/>
      <c r="AB10" s="72"/>
      <c r="AC10" s="72"/>
    </row>
    <row r="11" spans="1:29" x14ac:dyDescent="0.2">
      <c r="A11" s="78">
        <v>1</v>
      </c>
      <c r="B11" s="79">
        <f>IF('Att A pg 3-5'!$G$92&gt;=A11,A11," ")</f>
        <v>1</v>
      </c>
      <c r="C11" s="80">
        <v>1</v>
      </c>
      <c r="D11" s="81">
        <f>+IF('Att A pg 3-5'!$G$92&gt;='Att A pg 3-5'!A11,'Att A pg 3-5'!$G$85," ")</f>
        <v>8.2919999999999994E-2</v>
      </c>
      <c r="E11" s="81">
        <f>+IF('Att A pg 3-5'!$G$92&gt;='Att A pg 3-5'!A11, ((100/'Att A pg 3-5'!$G$92)/100),"")</f>
        <v>2.5000000000000001E-2</v>
      </c>
      <c r="F11" s="81">
        <v>0.01</v>
      </c>
      <c r="G11" s="81">
        <f>+IF('Att A pg 3-5'!$G$92&gt;='Att A pg 3-5'!A11,'Att A pg 3-5'!$G$94," ")</f>
        <v>3.9399999999999999E-3</v>
      </c>
      <c r="H11" s="81">
        <f>+IF('Att A pg 3-5'!$G$92&gt;='Att A pg 3-5'!A11,(+D11+E11+F11+G11)," ")</f>
        <v>0.12185999999999998</v>
      </c>
      <c r="I11" s="81">
        <f>+IF('Att A pg 3-5'!$G$92&gt;='Att A pg 3-5'!A11,(1/((1+'Att A pg 3-5'!$G$84)^'Att A pg 3-5'!B11))," ")</f>
        <v>0.93430002242320054</v>
      </c>
      <c r="J11" s="81">
        <f>+IF('Att A pg 3-5'!$G$92&gt;='Att A pg 3-5'!A11,'Att A pg 3-5'!H11*'Att A pg 3-5'!I11," ")</f>
        <v>0.1138538007324912</v>
      </c>
      <c r="K11" s="81">
        <f>+IF('Att A pg 3-5'!$G$92&gt;='Att A pg 3-5'!A11,'Att A pg 3-5'!J11," ")</f>
        <v>0.1138538007324912</v>
      </c>
      <c r="L11" s="81">
        <f>+IF('Att A pg 3-5'!$G$92&gt;='Att A pg 3-5'!A11,'Att A pg 3-5'!K11*'Att A pg 3-5'!$G$84*(1+'Att A pg 3-5'!$G$84)^'Att A pg 3-5'!B11/((1+'Att A pg 3-5'!$G$84)^'Att A pg 3-5'!B11-1)," ")</f>
        <v>0.12186000000000007</v>
      </c>
      <c r="M11" s="81"/>
      <c r="N11" s="82">
        <v>0.05</v>
      </c>
      <c r="O11" s="81">
        <f>+IF('Att A pg 3-5'!$G$92&gt;='Att A pg 3-5'!A11,(('Att A pg 3-5'!N11-'Att A pg 3-5'!E11)*('Att A pg 3-5'!$G$89))," ")</f>
        <v>5.2500000000000003E-3</v>
      </c>
      <c r="P11" s="83">
        <f>IF(+'Att A pg 3-5'!$G$92&gt;'Att A pg 3-5'!A11,+'Att A pg 3-5'!O11,"")</f>
        <v>5.2500000000000003E-3</v>
      </c>
      <c r="Q11" s="81"/>
      <c r="R11" s="81"/>
      <c r="S11" s="81"/>
      <c r="T11" s="84"/>
      <c r="V11" s="85"/>
      <c r="W11" s="86"/>
      <c r="X11" s="85"/>
      <c r="Y11" s="85"/>
      <c r="Z11" s="87"/>
      <c r="AA11" s="85"/>
      <c r="AB11" s="85"/>
      <c r="AC11" s="87"/>
    </row>
    <row r="12" spans="1:29" x14ac:dyDescent="0.2">
      <c r="A12" s="78">
        <v>2</v>
      </c>
      <c r="B12" s="79">
        <f>IF('Att A pg 3-5'!$G$92&gt;=A12,A12," ")</f>
        <v>2</v>
      </c>
      <c r="C12" s="80">
        <f>+IF('Att A pg 3-5'!$G$92&gt;='Att A pg 3-5'!A12,('Att A pg 3-5'!C11-'Att A pg 3-5'!E11-'Att A pg 3-5'!O11)," ")</f>
        <v>0.96975</v>
      </c>
      <c r="D12" s="81">
        <f>+IF('Att A pg 3-5'!$G$92&gt;='Att A pg 3-5'!A12,'Att A pg 3-5'!$G$85*C12," ")</f>
        <v>8.0411669999999991E-2</v>
      </c>
      <c r="E12" s="81">
        <f>+IF('Att A pg 3-5'!$G$92&gt;='Att A pg 3-5'!A12, ((100/'Att A pg 3-5'!$G$92)/100),"")</f>
        <v>2.5000000000000001E-2</v>
      </c>
      <c r="F12" s="81">
        <v>0.01</v>
      </c>
      <c r="G12" s="81">
        <f>+IF('Att A pg 3-5'!$G$92&gt;='Att A pg 3-5'!A12,'Att A pg 3-5'!$G$94," ")</f>
        <v>3.9399999999999999E-3</v>
      </c>
      <c r="H12" s="81">
        <f>+IF('Att A pg 3-5'!$G$92&gt;='Att A pg 3-5'!A12,(+D12+E12+F12+G12)," ")</f>
        <v>0.11935166999999998</v>
      </c>
      <c r="I12" s="81">
        <f>+IF('Att A pg 3-5'!$G$92&gt;='Att A pg 3-5'!A12,(1/((1+'Att A pg 3-5'!$G$84)^'Att A pg 3-5'!B12))," ")</f>
        <v>0.87291653189999319</v>
      </c>
      <c r="J12" s="81">
        <f>+IF('Att A pg 3-5'!$G$92&gt;='Att A pg 3-5'!A12,'Att A pg 3-5'!H12*'Att A pg 3-5'!I12," ")</f>
        <v>0.10418404585287244</v>
      </c>
      <c r="K12" s="81">
        <f>+IF('Att A pg 3-5'!$G$92&gt;='Att A pg 3-5'!A12,'Att A pg 3-5'!K11+'Att A pg 3-5'!J12," ")</f>
        <v>0.21803784658536363</v>
      </c>
      <c r="L12" s="81">
        <f>+IF('Att A pg 3-5'!$G$92&gt;='Att A pg 3-5'!A12,'Att A pg 3-5'!K12*'Att A pg 3-5'!$G$84*(1+'Att A pg 3-5'!$G$84)^'Att A pg 3-5'!B12/((1+'Att A pg 3-5'!$G$84)^'Att A pg 3-5'!B12-1)," ")</f>
        <v>0.12064843367208948</v>
      </c>
      <c r="M12" s="81"/>
      <c r="N12" s="82">
        <v>9.5000000000000001E-2</v>
      </c>
      <c r="O12" s="81">
        <f>+IF('Att A pg 3-5'!$G$92&gt;='Att A pg 3-5'!A12,(('Att A pg 3-5'!N12-'Att A pg 3-5'!E13)*('Att A pg 3-5'!$G$89))," ")</f>
        <v>1.4700000000000001E-2</v>
      </c>
      <c r="P12" s="83">
        <f>IF(+'Att A pg 3-5'!$G$92&gt;='Att A pg 3-5'!A12,+'Att A pg 3-5'!O12+P11,"")</f>
        <v>1.9950000000000002E-2</v>
      </c>
      <c r="Q12" s="81"/>
      <c r="R12" s="81"/>
      <c r="S12" s="81"/>
      <c r="T12" s="84"/>
      <c r="V12" s="81"/>
      <c r="W12" s="86"/>
      <c r="X12" s="85"/>
      <c r="Y12" s="81"/>
      <c r="AA12" s="81"/>
      <c r="AB12" s="81"/>
    </row>
    <row r="13" spans="1:29" x14ac:dyDescent="0.2">
      <c r="A13" s="78">
        <v>3</v>
      </c>
      <c r="B13" s="79">
        <f>IF('Att A pg 3-5'!$G$92&gt;=A13,A13," ")</f>
        <v>3</v>
      </c>
      <c r="C13" s="80">
        <f>+IF('Att A pg 3-5'!$G$92&gt;='Att A pg 3-5'!A13,('Att A pg 3-5'!C12-'Att A pg 3-5'!E12-'Att A pg 3-5'!O12)," ")</f>
        <v>0.93004999999999993</v>
      </c>
      <c r="D13" s="81">
        <f>+IF('Att A pg 3-5'!$G$92&gt;='Att A pg 3-5'!A13,'Att A pg 3-5'!$G$85*C13," ")</f>
        <v>7.7119745999999989E-2</v>
      </c>
      <c r="E13" s="81">
        <f>+IF('Att A pg 3-5'!$G$92&gt;='Att A pg 3-5'!A13, ((100/'Att A pg 3-5'!$G$92)/100),"")</f>
        <v>2.5000000000000001E-2</v>
      </c>
      <c r="F13" s="81">
        <v>0.01</v>
      </c>
      <c r="G13" s="81">
        <f>+IF('Att A pg 3-5'!$G$92&gt;='Att A pg 3-5'!A13,'Att A pg 3-5'!$G$94," ")</f>
        <v>3.9399999999999999E-3</v>
      </c>
      <c r="H13" s="81">
        <f>+IF('Att A pg 3-5'!$G$92&gt;='Att A pg 3-5'!A13,(+D13+E13+F13+G13)," ")</f>
        <v>0.11605974599999998</v>
      </c>
      <c r="I13" s="81">
        <f>+IF('Att A pg 3-5'!$G$92&gt;='Att A pg 3-5'!A13,(1/((1+'Att A pg 3-5'!$G$84)^'Att A pg 3-5'!B13))," ")</f>
        <v>0.81556593532774624</v>
      </c>
      <c r="J13" s="81">
        <f>+IF('Att A pg 3-5'!$G$92&gt;='Att A pg 3-5'!A13,'Att A pg 3-5'!H13*'Att A pg 3-5'!I13," ")</f>
        <v>9.4654375300390642E-2</v>
      </c>
      <c r="K13" s="81">
        <f>+IF('Att A pg 3-5'!$G$92&gt;='Att A pg 3-5'!A13,'Att A pg 3-5'!K12+'Att A pg 3-5'!J13," ")</f>
        <v>0.3126922218857543</v>
      </c>
      <c r="L13" s="81">
        <f>+IF('Att A pg 3-5'!$G$92&gt;='Att A pg 3-5'!A13,'Att A pg 3-5'!K13*'Att A pg 3-5'!$G$84*(1+'Att A pg 3-5'!$G$84)^'Att A pg 3-5'!B13/((1+'Att A pg 3-5'!$G$84)^'Att A pg 3-5'!B13-1)," ")</f>
        <v>0.11922156073543494</v>
      </c>
      <c r="M13" s="81"/>
      <c r="N13" s="82">
        <v>8.5500000000000007E-2</v>
      </c>
      <c r="O13" s="81">
        <f>+IF('Att A pg 3-5'!$G$92&gt;='Att A pg 3-5'!A13,(('Att A pg 3-5'!N13-'Att A pg 3-5'!E14)*('Att A pg 3-5'!$G$89))," ")</f>
        <v>1.2705000000000001E-2</v>
      </c>
      <c r="P13" s="83">
        <f>IF(+'Att A pg 3-5'!$G$92&gt;='Att A pg 3-5'!A13,+'Att A pg 3-5'!O13+P12,"")</f>
        <v>3.2655000000000003E-2</v>
      </c>
      <c r="Q13" s="81"/>
      <c r="R13" s="81"/>
      <c r="S13" s="81"/>
      <c r="T13" s="84"/>
      <c r="V13" s="81"/>
      <c r="W13" s="86"/>
      <c r="X13" s="85"/>
      <c r="Y13" s="81"/>
      <c r="AA13" s="81"/>
      <c r="AB13" s="81"/>
    </row>
    <row r="14" spans="1:29" x14ac:dyDescent="0.2">
      <c r="A14" s="78">
        <v>4</v>
      </c>
      <c r="B14" s="79">
        <f>IF('Att A pg 3-5'!$G$92&gt;=A14,A14," ")</f>
        <v>4</v>
      </c>
      <c r="C14" s="80">
        <f>+IF('Att A pg 3-5'!$G$92&gt;='Att A pg 3-5'!A14,('Att A pg 3-5'!C13-'Att A pg 3-5'!E13-'Att A pg 3-5'!O13)," ")</f>
        <v>0.89234499999999994</v>
      </c>
      <c r="D14" s="81">
        <f>+IF('Att A pg 3-5'!$G$92&gt;='Att A pg 3-5'!A14,'Att A pg 3-5'!$G$85*C14," ")</f>
        <v>7.399324739999999E-2</v>
      </c>
      <c r="E14" s="81">
        <f>+IF('Att A pg 3-5'!$G$92&gt;='Att A pg 3-5'!A14, ((100/'Att A pg 3-5'!$G$92)/100),"")</f>
        <v>2.5000000000000001E-2</v>
      </c>
      <c r="F14" s="81">
        <v>0.01</v>
      </c>
      <c r="G14" s="81">
        <f>+IF('Att A pg 3-5'!$G$92&gt;='Att A pg 3-5'!A14,'Att A pg 3-5'!$G$94," ")</f>
        <v>3.9399999999999999E-3</v>
      </c>
      <c r="H14" s="81">
        <f>+IF('Att A pg 3-5'!$G$92&gt;='Att A pg 3-5'!A14,(+D14+E14+F14+G14)," ")</f>
        <v>0.11293324739999998</v>
      </c>
      <c r="I14" s="81">
        <f>+IF('Att A pg 3-5'!$G$92&gt;='Att A pg 3-5'!A14,(1/((1+'Att A pg 3-5'!$G$84)^'Att A pg 3-5'!B14))," ")</f>
        <v>0.7619832716643119</v>
      </c>
      <c r="J14" s="81">
        <f>+IF('Att A pg 3-5'!$G$92&gt;='Att A pg 3-5'!A14,'Att A pg 3-5'!H14*'Att A pg 3-5'!I14," ")</f>
        <v>8.6053245333527123E-2</v>
      </c>
      <c r="K14" s="81">
        <f>+IF('Att A pg 3-5'!$G$92&gt;='Att A pg 3-5'!A14,'Att A pg 3-5'!K13+'Att A pg 3-5'!J14," ")</f>
        <v>0.39874546721928139</v>
      </c>
      <c r="L14" s="81">
        <f>+IF('Att A pg 3-5'!$G$92&gt;='Att A pg 3-5'!A14,'Att A pg 3-5'!K14*'Att A pg 3-5'!$G$84*(1+'Att A pg 3-5'!$G$84)^'Att A pg 3-5'!B14/((1+'Att A pg 3-5'!$G$84)^'Att A pg 3-5'!B14-1)," ")</f>
        <v>0.11780592671332669</v>
      </c>
      <c r="M14" s="81"/>
      <c r="N14" s="82">
        <v>7.6999999999999999E-2</v>
      </c>
      <c r="O14" s="81">
        <f>+IF('Att A pg 3-5'!$G$92&gt;='Att A pg 3-5'!A14,(('Att A pg 3-5'!N14-'Att A pg 3-5'!E14)*('Att A pg 3-5'!$G$89))," ")</f>
        <v>1.0919999999999999E-2</v>
      </c>
      <c r="P14" s="83">
        <f>IF(+'Att A pg 3-5'!$G$92&gt;='Att A pg 3-5'!A14,+'Att A pg 3-5'!O14+P13,"")</f>
        <v>4.3575000000000003E-2</v>
      </c>
      <c r="Q14" s="81"/>
      <c r="R14" s="81"/>
      <c r="S14" s="81"/>
      <c r="T14" s="84"/>
      <c r="V14" s="81"/>
      <c r="W14" s="86"/>
      <c r="X14" s="85"/>
      <c r="Y14" s="81"/>
      <c r="AA14" s="81"/>
      <c r="AB14" s="81"/>
    </row>
    <row r="15" spans="1:29" x14ac:dyDescent="0.2">
      <c r="A15" s="78">
        <v>5</v>
      </c>
      <c r="B15" s="79">
        <f>IF('Att A pg 3-5'!$G$92&gt;=A15,A15," ")</f>
        <v>5</v>
      </c>
      <c r="C15" s="80">
        <f>+IF('Att A pg 3-5'!$G$92&gt;='Att A pg 3-5'!A15,('Att A pg 3-5'!C14-'Att A pg 3-5'!E14-'Att A pg 3-5'!O14)," ")</f>
        <v>0.85642499999999988</v>
      </c>
      <c r="D15" s="81">
        <f>+IF('Att A pg 3-5'!$G$92&gt;='Att A pg 3-5'!A15,'Att A pg 3-5'!$G$85*C15," ")</f>
        <v>7.1014760999999982E-2</v>
      </c>
      <c r="E15" s="81">
        <f>+IF('Att A pg 3-5'!$G$92&gt;='Att A pg 3-5'!A15, ((100/'Att A pg 3-5'!$G$92)/100),"")</f>
        <v>2.5000000000000001E-2</v>
      </c>
      <c r="F15" s="81">
        <v>0.01</v>
      </c>
      <c r="G15" s="81">
        <f>+IF('Att A pg 3-5'!$G$92&gt;='Att A pg 3-5'!A15,'Att A pg 3-5'!$G$94," ")</f>
        <v>3.9399999999999999E-3</v>
      </c>
      <c r="H15" s="81">
        <f>+IF('Att A pg 3-5'!$G$92&gt;='Att A pg 3-5'!A15,(+D15+E15+F15+G15)," ")</f>
        <v>0.10995476099999997</v>
      </c>
      <c r="I15" s="81">
        <f>+IF('Att A pg 3-5'!$G$92&gt;='Att A pg 3-5'!A15,(1/((1+'Att A pg 3-5'!$G$84)^'Att A pg 3-5'!B15))," ")</f>
        <v>0.71192098780207025</v>
      </c>
      <c r="J15" s="81">
        <f>+IF('Att A pg 3-5'!$G$92&gt;='Att A pg 3-5'!A15,'Att A pg 3-5'!H15*'Att A pg 3-5'!I15," ")</f>
        <v>7.827910206466053E-2</v>
      </c>
      <c r="K15" s="81">
        <f>+IF('Att A pg 3-5'!$G$92&gt;='Att A pg 3-5'!A15,'Att A pg 3-5'!K14+'Att A pg 3-5'!J15," ")</f>
        <v>0.47702456928394193</v>
      </c>
      <c r="L15" s="81">
        <f>+IF('Att A pg 3-5'!$G$92&gt;='Att A pg 3-5'!A15,'Att A pg 3-5'!K15*'Att A pg 3-5'!$G$84*(1+'Att A pg 3-5'!$G$84)^'Att A pg 3-5'!B15/((1+'Att A pg 3-5'!$G$84)^'Att A pg 3-5'!B15-1)," ")</f>
        <v>0.11644155350338244</v>
      </c>
      <c r="M15" s="81"/>
      <c r="N15" s="82">
        <v>6.93E-2</v>
      </c>
      <c r="O15" s="81">
        <f>+IF('Att A pg 3-5'!$G$92&gt;='Att A pg 3-5'!A15,(('Att A pg 3-5'!N15-'Att A pg 3-5'!E15)*('Att A pg 3-5'!$G$89))," ")</f>
        <v>9.3029999999999988E-3</v>
      </c>
      <c r="P15" s="83">
        <f>IF(+'Att A pg 3-5'!$G$92&gt;='Att A pg 3-5'!A15,+'Att A pg 3-5'!O15+P14,"")</f>
        <v>5.2878000000000001E-2</v>
      </c>
      <c r="Q15" s="81"/>
      <c r="R15" s="81"/>
      <c r="S15" s="81"/>
      <c r="T15" s="84"/>
      <c r="V15" s="81"/>
      <c r="W15" s="86"/>
      <c r="X15" s="85"/>
      <c r="Y15" s="81"/>
      <c r="AA15" s="81"/>
      <c r="AB15" s="81"/>
    </row>
    <row r="16" spans="1:29" x14ac:dyDescent="0.2">
      <c r="A16" s="78">
        <v>6</v>
      </c>
      <c r="B16" s="79">
        <f>IF('Att A pg 3-5'!$G$92&gt;=A16,A16," ")</f>
        <v>6</v>
      </c>
      <c r="C16" s="80">
        <f>+IF('Att A pg 3-5'!$G$92&gt;='Att A pg 3-5'!A16,('Att A pg 3-5'!C15-'Att A pg 3-5'!E15-'Att A pg 3-5'!O15)," ")</f>
        <v>0.82212199999999991</v>
      </c>
      <c r="D16" s="81">
        <f>+IF('Att A pg 3-5'!$G$92&gt;='Att A pg 3-5'!A16,'Att A pg 3-5'!$G$85*C16," ")</f>
        <v>6.8170356239999993E-2</v>
      </c>
      <c r="E16" s="81">
        <f>+IF('Att A pg 3-5'!$G$92&gt;='Att A pg 3-5'!A16, ((100/'Att A pg 3-5'!$G$92)/100),"")</f>
        <v>2.5000000000000001E-2</v>
      </c>
      <c r="F16" s="81">
        <v>0.01</v>
      </c>
      <c r="G16" s="81">
        <f>+IF('Att A pg 3-5'!$G$92&gt;='Att A pg 3-5'!A16,'Att A pg 3-5'!$G$94," ")</f>
        <v>3.9399999999999999E-3</v>
      </c>
      <c r="H16" s="81">
        <f>+IF('Att A pg 3-5'!$G$92&gt;='Att A pg 3-5'!A16,(+D16+E16+F16+G16)," ")</f>
        <v>0.10711035624</v>
      </c>
      <c r="I16" s="81">
        <f>+IF('Att A pg 3-5'!$G$92&gt;='Att A pg 3-5'!A16,(1/((1+'Att A pg 3-5'!$G$84)^'Att A pg 3-5'!B16))," ")</f>
        <v>0.66514779486702147</v>
      </c>
      <c r="J16" s="81">
        <f>+IF('Att A pg 3-5'!$G$92&gt;='Att A pg 3-5'!A16,'Att A pg 3-5'!H16*'Att A pg 3-5'!I16," ")</f>
        <v>7.1244217260457113E-2</v>
      </c>
      <c r="K16" s="81">
        <f>+IF('Att A pg 3-5'!$G$92&gt;='Att A pg 3-5'!A16,'Att A pg 3-5'!K15+'Att A pg 3-5'!J16," ")</f>
        <v>0.54826878654439903</v>
      </c>
      <c r="L16" s="81">
        <f>+IF('Att A pg 3-5'!$G$92&gt;='Att A pg 3-5'!A16,'Att A pg 3-5'!K16*'Att A pg 3-5'!$G$84*(1+'Att A pg 3-5'!$G$84)^'Att A pg 3-5'!B16/((1+'Att A pg 3-5'!$G$84)^'Att A pg 3-5'!B16-1)," ")</f>
        <v>0.11513814297412565</v>
      </c>
      <c r="M16" s="81"/>
      <c r="N16" s="82">
        <v>6.2300000000000001E-2</v>
      </c>
      <c r="O16" s="81">
        <f>+IF('Att A pg 3-5'!$G$92&gt;='Att A pg 3-5'!A16,(('Att A pg 3-5'!N16-'Att A pg 3-5'!E16)*('Att A pg 3-5'!$G$89))," ")</f>
        <v>7.8329999999999997E-3</v>
      </c>
      <c r="P16" s="83">
        <f>IF(+'Att A pg 3-5'!$G$92&gt;='Att A pg 3-5'!A16,+'Att A pg 3-5'!O16+P15,"")</f>
        <v>6.0711000000000001E-2</v>
      </c>
      <c r="Q16" s="81"/>
      <c r="R16" s="81"/>
      <c r="S16" s="81"/>
      <c r="T16" s="84"/>
      <c r="V16" s="81"/>
      <c r="W16" s="86"/>
      <c r="X16" s="85"/>
      <c r="Y16" s="81"/>
      <c r="AA16" s="81"/>
      <c r="AB16" s="81"/>
    </row>
    <row r="17" spans="1:28" x14ac:dyDescent="0.2">
      <c r="A17" s="78">
        <v>7</v>
      </c>
      <c r="B17" s="79">
        <f>IF('Att A pg 3-5'!$G$92&gt;=A17,A17," ")</f>
        <v>7</v>
      </c>
      <c r="C17" s="80">
        <f>+IF('Att A pg 3-5'!$G$92&gt;='Att A pg 3-5'!A17,('Att A pg 3-5'!C16-'Att A pg 3-5'!E16-'Att A pg 3-5'!O16)," ")</f>
        <v>0.78928899999999991</v>
      </c>
      <c r="D17" s="81">
        <f>+IF('Att A pg 3-5'!$G$92&gt;='Att A pg 3-5'!A17,'Att A pg 3-5'!$G$85*C17," ")</f>
        <v>6.5447843879999981E-2</v>
      </c>
      <c r="E17" s="81">
        <f>+IF('Att A pg 3-5'!$G$92&gt;='Att A pg 3-5'!A17, ((100/'Att A pg 3-5'!$G$92)/100),"")</f>
        <v>2.5000000000000001E-2</v>
      </c>
      <c r="F17" s="81">
        <v>0.01</v>
      </c>
      <c r="G17" s="81">
        <f>+IF('Att A pg 3-5'!$G$92&gt;='Att A pg 3-5'!A17,'Att A pg 3-5'!$G$94," ")</f>
        <v>3.9399999999999999E-3</v>
      </c>
      <c r="H17" s="81">
        <f>+IF('Att A pg 3-5'!$G$92&gt;='Att A pg 3-5'!A17,(+D17+E17+F17+G17)," ")</f>
        <v>0.10438784387999998</v>
      </c>
      <c r="I17" s="81">
        <f>+IF('Att A pg 3-5'!$G$92&gt;='Att A pg 3-5'!A17,(1/((1+'Att A pg 3-5'!$G$84)^'Att A pg 3-5'!B17))," ")</f>
        <v>0.62144759965900065</v>
      </c>
      <c r="J17" s="81">
        <f>+IF('Att A pg 3-5'!$G$92&gt;='Att A pg 3-5'!A17,'Att A pg 3-5'!H17*'Att A pg 3-5'!I17," ")</f>
        <v>6.4871575012804494E-2</v>
      </c>
      <c r="K17" s="81">
        <f>+IF('Att A pg 3-5'!$G$92&gt;='Att A pg 3-5'!A17,'Att A pg 3-5'!K16+'Att A pg 3-5'!J17," ")</f>
        <v>0.61314036155720353</v>
      </c>
      <c r="L17" s="81">
        <f>+IF('Att A pg 3-5'!$G$92&gt;='Att A pg 3-5'!A17,'Att A pg 3-5'!K17*'Att A pg 3-5'!$G$84*(1+'Att A pg 3-5'!$G$84)^'Att A pg 3-5'!B17/((1+'Att A pg 3-5'!$G$84)^'Att A pg 3-5'!B17-1)," ")</f>
        <v>0.11389712543326552</v>
      </c>
      <c r="M17" s="81"/>
      <c r="N17" s="82">
        <v>5.8999999999999997E-2</v>
      </c>
      <c r="O17" s="81">
        <f>+IF('Att A pg 3-5'!$G$92&gt;='Att A pg 3-5'!A17,(('Att A pg 3-5'!N17-'Att A pg 3-5'!E17)*('Att A pg 3-5'!$G$89))," ")</f>
        <v>7.1399999999999988E-3</v>
      </c>
      <c r="P17" s="83">
        <f>IF(+'Att A pg 3-5'!$G$92&gt;='Att A pg 3-5'!A17,+'Att A pg 3-5'!O17+P16,"")</f>
        <v>6.7850999999999995E-2</v>
      </c>
      <c r="Q17" s="81"/>
      <c r="R17" s="81"/>
      <c r="S17" s="81"/>
      <c r="T17" s="84"/>
      <c r="V17" s="81"/>
      <c r="W17" s="86"/>
      <c r="X17" s="85"/>
      <c r="Y17" s="81"/>
      <c r="AA17" s="81"/>
      <c r="AB17" s="81"/>
    </row>
    <row r="18" spans="1:28" x14ac:dyDescent="0.2">
      <c r="A18" s="78">
        <v>8</v>
      </c>
      <c r="B18" s="79">
        <f>IF('Att A pg 3-5'!$G$92&gt;=A18,A18," ")</f>
        <v>8</v>
      </c>
      <c r="C18" s="80">
        <f>+IF('Att A pg 3-5'!$G$92&gt;='Att A pg 3-5'!A18,('Att A pg 3-5'!C17-'Att A pg 3-5'!E17-'Att A pg 3-5'!O17)," ")</f>
        <v>0.75714899999999985</v>
      </c>
      <c r="D18" s="81">
        <f>+IF('Att A pg 3-5'!$G$92&gt;='Att A pg 3-5'!A18,'Att A pg 3-5'!$G$85*C18," ")</f>
        <v>6.2782795079999981E-2</v>
      </c>
      <c r="E18" s="81">
        <f>+IF('Att A pg 3-5'!$G$92&gt;='Att A pg 3-5'!A18, ((100/'Att A pg 3-5'!$G$92)/100),"")</f>
        <v>2.5000000000000001E-2</v>
      </c>
      <c r="F18" s="81">
        <v>0.01</v>
      </c>
      <c r="G18" s="81">
        <f>+IF('Att A pg 3-5'!$G$92&gt;='Att A pg 3-5'!A18,'Att A pg 3-5'!$G$94," ")</f>
        <v>3.9399999999999999E-3</v>
      </c>
      <c r="H18" s="81">
        <f>+IF('Att A pg 3-5'!$G$92&gt;='Att A pg 3-5'!A18,(+D18+E18+F18+G18)," ")</f>
        <v>0.10172279507999997</v>
      </c>
      <c r="I18" s="81">
        <f>+IF('Att A pg 3-5'!$G$92&gt;='Att A pg 3-5'!A18,(1/((1+'Att A pg 3-5'!$G$84)^'Att A pg 3-5'!B18))," ")</f>
        <v>0.58061850629624856</v>
      </c>
      <c r="J18" s="81">
        <f>+IF('Att A pg 3-5'!$G$92&gt;='Att A pg 3-5'!A18,'Att A pg 3-5'!H18*'Att A pg 3-5'!I18," ")</f>
        <v>5.9062137335628963E-2</v>
      </c>
      <c r="K18" s="81">
        <f>+IF('Att A pg 3-5'!$G$92&gt;='Att A pg 3-5'!A18,'Att A pg 3-5'!K17+'Att A pg 3-5'!J18," ")</f>
        <v>0.67220249889283246</v>
      </c>
      <c r="L18" s="81">
        <f>+IF('Att A pg 3-5'!$G$92&gt;='Att A pg 3-5'!A18,'Att A pg 3-5'!K18*'Att A pg 3-5'!$G$84*(1+'Att A pg 3-5'!$G$84)^'Att A pg 3-5'!B18/((1+'Att A pg 3-5'!$G$84)^'Att A pg 3-5'!B18-1)," ")</f>
        <v>0.11271188746238457</v>
      </c>
      <c r="M18" s="81"/>
      <c r="N18" s="82">
        <v>5.8999999999999997E-2</v>
      </c>
      <c r="O18" s="81">
        <f>+IF('Att A pg 3-5'!$G$92&gt;='Att A pg 3-5'!A18,(('Att A pg 3-5'!N18-'Att A pg 3-5'!E18)*('Att A pg 3-5'!$G$89))," ")</f>
        <v>7.1399999999999988E-3</v>
      </c>
      <c r="P18" s="83">
        <f>IF(+'Att A pg 3-5'!$G$92&gt;='Att A pg 3-5'!A18,+'Att A pg 3-5'!O18+P17,"")</f>
        <v>7.4990999999999988E-2</v>
      </c>
      <c r="Q18" s="81"/>
      <c r="R18" s="81"/>
      <c r="S18" s="81"/>
      <c r="T18" s="84"/>
      <c r="V18" s="81"/>
      <c r="W18" s="86"/>
      <c r="X18" s="85"/>
      <c r="Y18" s="81"/>
      <c r="AA18" s="81"/>
      <c r="AB18" s="81"/>
    </row>
    <row r="19" spans="1:28" x14ac:dyDescent="0.2">
      <c r="A19" s="78">
        <v>9</v>
      </c>
      <c r="B19" s="79">
        <f>IF('Att A pg 3-5'!$G$92&gt;=A19,A19," ")</f>
        <v>9</v>
      </c>
      <c r="C19" s="80">
        <f>+IF('Att A pg 3-5'!$G$92&gt;='Att A pg 3-5'!A19,('Att A pg 3-5'!C18-'Att A pg 3-5'!E18-'Att A pg 3-5'!O18)," ")</f>
        <v>0.72500899999999979</v>
      </c>
      <c r="D19" s="81">
        <f>+IF('Att A pg 3-5'!$G$92&gt;='Att A pg 3-5'!A19,'Att A pg 3-5'!$G$85*C19," ")</f>
        <v>6.0117746279999981E-2</v>
      </c>
      <c r="E19" s="81">
        <f>+IF('Att A pg 3-5'!$G$92&gt;='Att A pg 3-5'!A19, ((100/'Att A pg 3-5'!$G$92)/100),"")</f>
        <v>2.5000000000000001E-2</v>
      </c>
      <c r="F19" s="81">
        <v>0.01</v>
      </c>
      <c r="G19" s="81">
        <f>+IF('Att A pg 3-5'!$G$92&gt;='Att A pg 3-5'!A19,'Att A pg 3-5'!$G$94," ")</f>
        <v>3.9399999999999999E-3</v>
      </c>
      <c r="H19" s="81">
        <f>+IF('Att A pg 3-5'!$G$92&gt;='Att A pg 3-5'!A19,(+D19+E19+F19+G19)," ")</f>
        <v>9.9057746279999984E-2</v>
      </c>
      <c r="I19" s="81">
        <f>+IF('Att A pg 3-5'!$G$92&gt;='Att A pg 3-5'!A19,(1/((1+'Att A pg 3-5'!$G$84)^'Att A pg 3-5'!B19))," ")</f>
        <v>0.54247188345191033</v>
      </c>
      <c r="J19" s="81">
        <f>+IF('Att A pg 3-5'!$G$92&gt;='Att A pg 3-5'!A19,'Att A pg 3-5'!H19*'Att A pg 3-5'!I19," ")</f>
        <v>5.3736042195013052E-2</v>
      </c>
      <c r="K19" s="81">
        <f>+IF('Att A pg 3-5'!$G$92&gt;='Att A pg 3-5'!A19,'Att A pg 3-5'!K18+'Att A pg 3-5'!J19," ")</f>
        <v>0.7259385410878455</v>
      </c>
      <c r="L19" s="81">
        <f>+IF('Att A pg 3-5'!$G$92&gt;='Att A pg 3-5'!A19,'Att A pg 3-5'!K19*'Att A pg 3-5'!$G$84*(1+'Att A pg 3-5'!$G$84)^'Att A pg 3-5'!B19/((1+'Att A pg 3-5'!$G$84)^'Att A pg 3-5'!B19-1)," ")</f>
        <v>0.11157346699135977</v>
      </c>
      <c r="M19" s="81"/>
      <c r="N19" s="82">
        <v>5.91E-2</v>
      </c>
      <c r="O19" s="81">
        <f>+IF('Att A pg 3-5'!$G$92&gt;='Att A pg 3-5'!A19,(('Att A pg 3-5'!N19-'Att A pg 3-5'!E19)*('Att A pg 3-5'!$G$89))," ")</f>
        <v>7.160999999999999E-3</v>
      </c>
      <c r="P19" s="83">
        <f>IF(+'Att A pg 3-5'!$G$92&gt;='Att A pg 3-5'!A19,+'Att A pg 3-5'!O19+P18,"")</f>
        <v>8.2151999999999989E-2</v>
      </c>
      <c r="Q19" s="81"/>
      <c r="R19" s="81"/>
      <c r="S19" s="81"/>
      <c r="T19" s="84"/>
      <c r="V19" s="81"/>
      <c r="W19" s="86"/>
      <c r="X19" s="85"/>
      <c r="Y19" s="81"/>
      <c r="AA19" s="81"/>
      <c r="AB19" s="81"/>
    </row>
    <row r="20" spans="1:28" x14ac:dyDescent="0.2">
      <c r="A20" s="78">
        <v>10</v>
      </c>
      <c r="B20" s="79">
        <f>IF('Att A pg 3-5'!$G$92&gt;=A20,A20," ")</f>
        <v>10</v>
      </c>
      <c r="C20" s="80">
        <f>+IF('Att A pg 3-5'!$G$92&gt;='Att A pg 3-5'!A20,('Att A pg 3-5'!C19-'Att A pg 3-5'!E19-'Att A pg 3-5'!O19)," ")</f>
        <v>0.6928479999999998</v>
      </c>
      <c r="D20" s="81">
        <f>+IF('Att A pg 3-5'!$G$92&gt;='Att A pg 3-5'!A20,'Att A pg 3-5'!$G$85*C20," ")</f>
        <v>5.7450956159999976E-2</v>
      </c>
      <c r="E20" s="81">
        <f>+IF('Att A pg 3-5'!$G$92&gt;='Att A pg 3-5'!A20, ((100/'Att A pg 3-5'!$G$92)/100),"")</f>
        <v>2.5000000000000001E-2</v>
      </c>
      <c r="F20" s="81">
        <v>0.01</v>
      </c>
      <c r="G20" s="81">
        <f>+IF('Att A pg 3-5'!$G$92&gt;='Att A pg 3-5'!A20,'Att A pg 3-5'!$G$94," ")</f>
        <v>3.9399999999999999E-3</v>
      </c>
      <c r="H20" s="81">
        <f>+IF('Att A pg 3-5'!$G$92&gt;='Att A pg 3-5'!A20,(+D20+E20+F20+G20)," ")</f>
        <v>9.6390956159999971E-2</v>
      </c>
      <c r="I20" s="81">
        <f>+IF('Att A pg 3-5'!$G$92&gt;='Att A pg 3-5'!A20,(1/((1+'Att A pg 3-5'!$G$84)^'Att A pg 3-5'!B20))," ")</f>
        <v>0.50683149287307561</v>
      </c>
      <c r="J20" s="81">
        <f>+IF('Att A pg 3-5'!$G$92&gt;='Att A pg 3-5'!A20,'Att A pg 3-5'!H20*'Att A pg 3-5'!I20," ")</f>
        <v>4.885397221003597E-2</v>
      </c>
      <c r="K20" s="81">
        <f>+IF('Att A pg 3-5'!$G$92&gt;='Att A pg 3-5'!A20,'Att A pg 3-5'!K19+'Att A pg 3-5'!J20," ")</f>
        <v>0.77479251329788146</v>
      </c>
      <c r="L20" s="81">
        <f>+IF('Att A pg 3-5'!$G$92&gt;='Att A pg 3-5'!A20,'Att A pg 3-5'!K20*'Att A pg 3-5'!$G$84*(1+'Att A pg 3-5'!$G$84)^'Att A pg 3-5'!B20/((1+'Att A pg 3-5'!$G$84)^'Att A pg 3-5'!B20-1)," ")</f>
        <v>0.11047625456157704</v>
      </c>
      <c r="M20" s="81"/>
      <c r="N20" s="82">
        <v>5.8999999999999997E-2</v>
      </c>
      <c r="O20" s="81">
        <f>+IF('Att A pg 3-5'!$G$92&gt;='Att A pg 3-5'!A20,(('Att A pg 3-5'!N20-'Att A pg 3-5'!E20)*('Att A pg 3-5'!$G$89))," ")</f>
        <v>7.1399999999999988E-3</v>
      </c>
      <c r="P20" s="83">
        <f>IF(+'Att A pg 3-5'!$G$92&gt;='Att A pg 3-5'!A20,+'Att A pg 3-5'!O20+P19,"")</f>
        <v>8.9291999999999982E-2</v>
      </c>
      <c r="Q20" s="81"/>
      <c r="R20" s="81"/>
      <c r="S20" s="81"/>
      <c r="T20" s="84"/>
      <c r="V20" s="81"/>
      <c r="W20" s="86"/>
      <c r="X20" s="85"/>
      <c r="Y20" s="81"/>
      <c r="AA20" s="81"/>
      <c r="AB20" s="81"/>
    </row>
    <row r="21" spans="1:28" x14ac:dyDescent="0.2">
      <c r="A21" s="78">
        <v>11</v>
      </c>
      <c r="B21" s="79">
        <f>IF('Att A pg 3-5'!$G$92&gt;=A21,A21," ")</f>
        <v>11</v>
      </c>
      <c r="C21" s="80">
        <f>+IF('Att A pg 3-5'!$G$92&gt;='Att A pg 3-5'!A21,('Att A pg 3-5'!C20-'Att A pg 3-5'!E20-'Att A pg 3-5'!O20)," ")</f>
        <v>0.66070799999999974</v>
      </c>
      <c r="D21" s="81">
        <f>+IF('Att A pg 3-5'!$G$92&gt;='Att A pg 3-5'!A21,'Att A pg 3-5'!$G$85*C21," ")</f>
        <v>5.4785907359999976E-2</v>
      </c>
      <c r="E21" s="81">
        <f>+IF('Att A pg 3-5'!$G$92&gt;='Att A pg 3-5'!A21, ((100/'Att A pg 3-5'!$G$92)/100),"")</f>
        <v>2.5000000000000001E-2</v>
      </c>
      <c r="F21" s="81">
        <v>0.01</v>
      </c>
      <c r="G21" s="81">
        <f>+IF('Att A pg 3-5'!$G$92&gt;='Att A pg 3-5'!A21,'Att A pg 3-5'!$G$94," ")</f>
        <v>3.9399999999999999E-3</v>
      </c>
      <c r="H21" s="81">
        <f>+IF('Att A pg 3-5'!$G$92&gt;='Att A pg 3-5'!A21,(+D21+E21+F21+G21)," ")</f>
        <v>9.3725907359999971E-2</v>
      </c>
      <c r="I21" s="81">
        <f>+IF('Att A pg 3-5'!$G$92&gt;='Att A pg 3-5'!A21,(1/((1+'Att A pg 3-5'!$G$84)^'Att A pg 3-5'!B21))," ")</f>
        <v>0.47353267515609887</v>
      </c>
      <c r="J21" s="81">
        <f>+IF('Att A pg 3-5'!$G$92&gt;='Att A pg 3-5'!A21,'Att A pg 3-5'!H21*'Att A pg 3-5'!I21," ")</f>
        <v>4.4382279643613486E-2</v>
      </c>
      <c r="K21" s="81">
        <f>+IF('Att A pg 3-5'!$G$92&gt;='Att A pg 3-5'!A21,'Att A pg 3-5'!K20+'Att A pg 3-5'!J21," ")</f>
        <v>0.81917479294149498</v>
      </c>
      <c r="L21" s="81">
        <f>+IF('Att A pg 3-5'!$G$92&gt;='Att A pg 3-5'!A21,'Att A pg 3-5'!K21*'Att A pg 3-5'!$G$84*(1+'Att A pg 3-5'!$G$84)^'Att A pg 3-5'!B21/((1+'Att A pg 3-5'!$G$84)^'Att A pg 3-5'!B21-1)," ")</f>
        <v>0.10941680275547158</v>
      </c>
      <c r="M21" s="81"/>
      <c r="N21" s="82">
        <v>5.91E-2</v>
      </c>
      <c r="O21" s="81">
        <f>+IF('Att A pg 3-5'!$G$92&gt;='Att A pg 3-5'!A21,(('Att A pg 3-5'!N21-'Att A pg 3-5'!E21)*('Att A pg 3-5'!$G$89))," ")</f>
        <v>7.160999999999999E-3</v>
      </c>
      <c r="P21" s="83">
        <f>IF(+'Att A pg 3-5'!$G$92&gt;='Att A pg 3-5'!A21,+'Att A pg 3-5'!O21+P20,"")</f>
        <v>9.6452999999999983E-2</v>
      </c>
      <c r="Q21" s="81"/>
      <c r="R21" s="81"/>
      <c r="S21" s="81"/>
      <c r="T21" s="84"/>
      <c r="V21" s="81"/>
      <c r="W21" s="86"/>
      <c r="X21" s="85"/>
      <c r="Y21" s="81"/>
      <c r="AA21" s="81"/>
      <c r="AB21" s="81"/>
    </row>
    <row r="22" spans="1:28" x14ac:dyDescent="0.2">
      <c r="A22" s="78">
        <v>12</v>
      </c>
      <c r="B22" s="79">
        <f>IF('Att A pg 3-5'!$G$92&gt;=A22,A22," ")</f>
        <v>12</v>
      </c>
      <c r="C22" s="80">
        <f>+IF('Att A pg 3-5'!$G$92&gt;='Att A pg 3-5'!A22,('Att A pg 3-5'!C21-'Att A pg 3-5'!E21-'Att A pg 3-5'!O21)," ")</f>
        <v>0.62854699999999974</v>
      </c>
      <c r="D22" s="81">
        <f>+IF('Att A pg 3-5'!$G$92&gt;='Att A pg 3-5'!A22,'Att A pg 3-5'!$G$85*C22," ")</f>
        <v>5.2119117239999978E-2</v>
      </c>
      <c r="E22" s="81">
        <f>+IF('Att A pg 3-5'!$G$92&gt;='Att A pg 3-5'!A22, ((100/'Att A pg 3-5'!$G$92)/100),"")</f>
        <v>2.5000000000000001E-2</v>
      </c>
      <c r="F22" s="81">
        <v>0.01</v>
      </c>
      <c r="G22" s="81">
        <f>+IF('Att A pg 3-5'!$G$92&gt;='Att A pg 3-5'!A22,'Att A pg 3-5'!$G$94," ")</f>
        <v>3.9399999999999999E-3</v>
      </c>
      <c r="H22" s="81">
        <f>+IF('Att A pg 3-5'!$G$92&gt;='Att A pg 3-5'!A22,(+D22+E22+F22+G22)," ")</f>
        <v>9.1059117239999973E-2</v>
      </c>
      <c r="I22" s="81">
        <f>+IF('Att A pg 3-5'!$G$92&gt;='Att A pg 3-5'!A22,(1/((1+'Att A pg 3-5'!$G$84)^'Att A pg 3-5'!B22))," ")</f>
        <v>0.44242158901646139</v>
      </c>
      <c r="J22" s="81">
        <f>+IF('Att A pg 3-5'!$G$92&gt;='Att A pg 3-5'!A22,'Att A pg 3-5'!H22*'Att A pg 3-5'!I22," ")</f>
        <v>4.0286519343757043E-2</v>
      </c>
      <c r="K22" s="81">
        <f>+IF('Att A pg 3-5'!$G$92&gt;='Att A pg 3-5'!A22,'Att A pg 3-5'!K21+'Att A pg 3-5'!J22," ")</f>
        <v>0.85946131228525202</v>
      </c>
      <c r="L22" s="81">
        <f>+IF('Att A pg 3-5'!$G$92&gt;='Att A pg 3-5'!A22,'Att A pg 3-5'!K22*'Att A pg 3-5'!$G$84*(1+'Att A pg 3-5'!$G$84)^'Att A pg 3-5'!B22/((1+'Att A pg 3-5'!$G$84)^'Att A pg 3-5'!B22-1)," ")</f>
        <v>0.10839250281102294</v>
      </c>
      <c r="M22" s="81"/>
      <c r="N22" s="82">
        <v>5.8999999999999997E-2</v>
      </c>
      <c r="O22" s="81">
        <f>+IF('Att A pg 3-5'!$G$92&gt;='Att A pg 3-5'!A22,(('Att A pg 3-5'!N22-'Att A pg 3-5'!E22)*('Att A pg 3-5'!$G$89))," ")</f>
        <v>7.1399999999999988E-3</v>
      </c>
      <c r="P22" s="83">
        <f>IF(+'Att A pg 3-5'!$G$92&gt;='Att A pg 3-5'!A22,+'Att A pg 3-5'!O22+P21,"")</f>
        <v>0.10359299999999998</v>
      </c>
      <c r="Q22" s="81"/>
      <c r="R22" s="81"/>
      <c r="S22" s="81"/>
      <c r="T22" s="84"/>
      <c r="V22" s="81"/>
      <c r="W22" s="86"/>
      <c r="X22" s="85"/>
      <c r="Y22" s="81"/>
      <c r="AA22" s="81"/>
      <c r="AB22" s="81"/>
    </row>
    <row r="23" spans="1:28" x14ac:dyDescent="0.2">
      <c r="A23" s="78">
        <v>13</v>
      </c>
      <c r="B23" s="79">
        <f>IF('Att A pg 3-5'!$G$92&gt;=A23,A23," ")</f>
        <v>13</v>
      </c>
      <c r="C23" s="80">
        <f>+IF('Att A pg 3-5'!$G$92&gt;='Att A pg 3-5'!A23,('Att A pg 3-5'!C22-'Att A pg 3-5'!E22-'Att A pg 3-5'!O22)," ")</f>
        <v>0.59640699999999969</v>
      </c>
      <c r="D23" s="81">
        <f>+IF('Att A pg 3-5'!$G$92&gt;='Att A pg 3-5'!A23,'Att A pg 3-5'!$G$85*C23," ")</f>
        <v>4.9454068439999971E-2</v>
      </c>
      <c r="E23" s="81">
        <f>+IF('Att A pg 3-5'!$G$92&gt;='Att A pg 3-5'!A23, ((100/'Att A pg 3-5'!$G$92)/100),"")</f>
        <v>2.5000000000000001E-2</v>
      </c>
      <c r="F23" s="81">
        <v>0.01</v>
      </c>
      <c r="G23" s="81">
        <f>+IF('Att A pg 3-5'!$G$92&gt;='Att A pg 3-5'!A23,'Att A pg 3-5'!$G$94," ")</f>
        <v>3.9399999999999999E-3</v>
      </c>
      <c r="H23" s="81">
        <f>+IF('Att A pg 3-5'!$G$92&gt;='Att A pg 3-5'!A23,(+D23+E23+F23+G23)," ")</f>
        <v>8.8394068439999959E-2</v>
      </c>
      <c r="I23" s="81">
        <f>+IF('Att A pg 3-5'!$G$92&gt;='Att A pg 3-5'!A23,(1/((1+'Att A pg 3-5'!$G$84)^'Att A pg 3-5'!B23))," ")</f>
        <v>0.41335450053858785</v>
      </c>
      <c r="J23" s="81">
        <f>+IF('Att A pg 3-5'!$G$92&gt;='Att A pg 3-5'!A23,'Att A pg 3-5'!H23*'Att A pg 3-5'!I23," ")</f>
        <v>3.6538086010589936E-2</v>
      </c>
      <c r="K23" s="81">
        <f>+IF('Att A pg 3-5'!$G$92&gt;='Att A pg 3-5'!A23,'Att A pg 3-5'!K22+'Att A pg 3-5'!J23," ")</f>
        <v>0.89599939829584196</v>
      </c>
      <c r="L23" s="81">
        <f>+IF('Att A pg 3-5'!$G$92&gt;='Att A pg 3-5'!A23,'Att A pg 3-5'!K23*'Att A pg 3-5'!$G$84*(1+'Att A pg 3-5'!$G$84)^'Att A pg 3-5'!B23/((1+'Att A pg 3-5'!$G$84)^'Att A pg 3-5'!B23-1)," ")</f>
        <v>0.10740162115964209</v>
      </c>
      <c r="M23" s="81"/>
      <c r="N23" s="82">
        <v>5.91E-2</v>
      </c>
      <c r="O23" s="81">
        <f>+IF('Att A pg 3-5'!$G$92&gt;='Att A pg 3-5'!A23,(('Att A pg 3-5'!N23-'Att A pg 3-5'!E23)*('Att A pg 3-5'!$G$89))," ")</f>
        <v>7.160999999999999E-3</v>
      </c>
      <c r="P23" s="83">
        <f>IF(+'Att A pg 3-5'!$G$92&gt;='Att A pg 3-5'!A23,+'Att A pg 3-5'!O23+P22,"")</f>
        <v>0.11075399999999998</v>
      </c>
      <c r="Q23" s="81"/>
      <c r="R23" s="81"/>
      <c r="S23" s="81"/>
      <c r="T23" s="84"/>
      <c r="V23" s="81"/>
      <c r="W23" s="86"/>
      <c r="X23" s="85"/>
      <c r="Y23" s="81"/>
      <c r="AA23" s="81"/>
      <c r="AB23" s="81"/>
    </row>
    <row r="24" spans="1:28" x14ac:dyDescent="0.2">
      <c r="A24" s="78">
        <v>14</v>
      </c>
      <c r="B24" s="79">
        <f>IF('Att A pg 3-5'!$G$92&gt;=A24,A24," ")</f>
        <v>14</v>
      </c>
      <c r="C24" s="80">
        <f>+IF('Att A pg 3-5'!$G$92&gt;='Att A pg 3-5'!A24,('Att A pg 3-5'!C23-'Att A pg 3-5'!E23-'Att A pg 3-5'!O23)," ")</f>
        <v>0.56424599999999969</v>
      </c>
      <c r="D24" s="81">
        <f>+IF('Att A pg 3-5'!$G$92&gt;='Att A pg 3-5'!A24,'Att A pg 3-5'!$G$85*C24," ")</f>
        <v>4.6787278319999973E-2</v>
      </c>
      <c r="E24" s="81">
        <f>+IF('Att A pg 3-5'!$G$92&gt;='Att A pg 3-5'!A24, ((100/'Att A pg 3-5'!$G$92)/100),"")</f>
        <v>2.5000000000000001E-2</v>
      </c>
      <c r="F24" s="81">
        <v>0.01</v>
      </c>
      <c r="G24" s="81">
        <f>+IF('Att A pg 3-5'!$G$92&gt;='Att A pg 3-5'!A24,'Att A pg 3-5'!$G$94," ")</f>
        <v>3.9399999999999999E-3</v>
      </c>
      <c r="H24" s="81">
        <f>+IF('Att A pg 3-5'!$G$92&gt;='Att A pg 3-5'!A24,(+D24+E24+F24+G24)," ")</f>
        <v>8.5727278319999975E-2</v>
      </c>
      <c r="I24" s="81">
        <f>+IF('Att A pg 3-5'!$G$92&gt;='Att A pg 3-5'!A24,(1/((1+'Att A pg 3-5'!$G$84)^'Att A pg 3-5'!B24))," ")</f>
        <v>0.3861971191219335</v>
      </c>
      <c r="J24" s="81">
        <f>+IF('Att A pg 3-5'!$G$92&gt;='Att A pg 3-5'!A24,'Att A pg 3-5'!H24*'Att A pg 3-5'!I24," ")</f>
        <v>3.3107627917348177E-2</v>
      </c>
      <c r="K24" s="81">
        <f>+IF('Att A pg 3-5'!$G$92&gt;='Att A pg 3-5'!A24,'Att A pg 3-5'!K23+'Att A pg 3-5'!J24," ")</f>
        <v>0.92910702621319019</v>
      </c>
      <c r="L24" s="81">
        <f>+IF('Att A pg 3-5'!$G$92&gt;='Att A pg 3-5'!A24,'Att A pg 3-5'!K24*'Att A pg 3-5'!$G$84*(1+'Att A pg 3-5'!$G$84)^'Att A pg 3-5'!B24/((1+'Att A pg 3-5'!$G$84)^'Att A pg 3-5'!B24-1)," ")</f>
        <v>0.10644265140927298</v>
      </c>
      <c r="M24" s="81"/>
      <c r="N24" s="82">
        <v>5.8999999999999997E-2</v>
      </c>
      <c r="O24" s="81">
        <f>+IF('Att A pg 3-5'!$G$92&gt;='Att A pg 3-5'!A24,(('Att A pg 3-5'!N24-'Att A pg 3-5'!E24)*('Att A pg 3-5'!$G$89))," ")</f>
        <v>7.1399999999999988E-3</v>
      </c>
      <c r="P24" s="83">
        <f>IF(+'Att A pg 3-5'!$G$92&gt;='Att A pg 3-5'!A24,+'Att A pg 3-5'!O24+P23,"")</f>
        <v>0.11789399999999997</v>
      </c>
      <c r="Q24" s="81"/>
      <c r="R24" s="81"/>
      <c r="S24" s="81"/>
      <c r="T24" s="84"/>
      <c r="V24" s="81"/>
      <c r="W24" s="86"/>
      <c r="X24" s="85"/>
      <c r="Y24" s="81"/>
      <c r="AA24" s="81"/>
      <c r="AB24" s="81"/>
    </row>
    <row r="25" spans="1:28" x14ac:dyDescent="0.2">
      <c r="A25" s="78">
        <v>15</v>
      </c>
      <c r="B25" s="79">
        <f>IF('Att A pg 3-5'!$G$92&gt;=A25,A25," ")</f>
        <v>15</v>
      </c>
      <c r="C25" s="80">
        <f>+IF('Att A pg 3-5'!$G$92&gt;='Att A pg 3-5'!A25,('Att A pg 3-5'!C24-'Att A pg 3-5'!E24-'Att A pg 3-5'!O24)," ")</f>
        <v>0.53210599999999963</v>
      </c>
      <c r="D25" s="81">
        <f>+IF('Att A pg 3-5'!$G$92&gt;='Att A pg 3-5'!A25,'Att A pg 3-5'!$G$85*C25," ")</f>
        <v>4.4122229519999966E-2</v>
      </c>
      <c r="E25" s="81">
        <f>+IF('Att A pg 3-5'!$G$92&gt;='Att A pg 3-5'!A25, ((100/'Att A pg 3-5'!$G$92)/100),"")</f>
        <v>2.5000000000000001E-2</v>
      </c>
      <c r="F25" s="81">
        <v>0.01</v>
      </c>
      <c r="G25" s="81">
        <f>+IF('Att A pg 3-5'!$G$92&gt;='Att A pg 3-5'!A25,'Att A pg 3-5'!$G$94," ")</f>
        <v>3.9399999999999999E-3</v>
      </c>
      <c r="H25" s="81">
        <f>+IF('Att A pg 3-5'!$G$92&gt;='Att A pg 3-5'!A25,(+D25+E25+F25+G25)," ")</f>
        <v>8.3062229519999961E-2</v>
      </c>
      <c r="I25" s="81">
        <f>+IF('Att A pg 3-5'!$G$92&gt;='Att A pg 3-5'!A25,(1/((1+'Att A pg 3-5'!$G$84)^'Att A pg 3-5'!B25))," ")</f>
        <v>0.36082397705539804</v>
      </c>
      <c r="J25" s="81">
        <f>+IF('Att A pg 3-5'!$G$92&gt;='Att A pg 3-5'!A25,'Att A pg 3-5'!H25*'Att A pg 3-5'!I25," ")</f>
        <v>2.9970843998494673E-2</v>
      </c>
      <c r="K25" s="81">
        <f>+IF('Att A pg 3-5'!$G$92&gt;='Att A pg 3-5'!A25,'Att A pg 3-5'!K24+'Att A pg 3-5'!J25," ")</f>
        <v>0.95907787021168489</v>
      </c>
      <c r="L25" s="81">
        <f>+IF('Att A pg 3-5'!$G$92&gt;='Att A pg 3-5'!A25,'Att A pg 3-5'!K25*'Att A pg 3-5'!$G$84*(1+'Att A pg 3-5'!$G$84)^'Att A pg 3-5'!B25/((1+'Att A pg 3-5'!$G$84)^'Att A pg 3-5'!B25-1)," ")</f>
        <v>0.10551452716043287</v>
      </c>
      <c r="M25" s="81"/>
      <c r="N25" s="82">
        <v>5.91E-2</v>
      </c>
      <c r="O25" s="81">
        <f>+IF('Att A pg 3-5'!$G$92&gt;='Att A pg 3-5'!A25,(('Att A pg 3-5'!N25-'Att A pg 3-5'!E25)*('Att A pg 3-5'!$G$89))," ")</f>
        <v>7.160999999999999E-3</v>
      </c>
      <c r="P25" s="83">
        <f>IF(+'Att A pg 3-5'!$G$92&gt;='Att A pg 3-5'!A25,+'Att A pg 3-5'!O25+P24,"")</f>
        <v>0.12505499999999997</v>
      </c>
      <c r="Q25" s="81"/>
      <c r="R25" s="81"/>
      <c r="S25" s="81"/>
      <c r="T25" s="84"/>
      <c r="V25" s="81"/>
      <c r="W25" s="86"/>
      <c r="X25" s="85"/>
      <c r="Y25" s="81"/>
      <c r="AA25" s="81"/>
      <c r="AB25" s="81"/>
    </row>
    <row r="26" spans="1:28" x14ac:dyDescent="0.2">
      <c r="A26" s="78">
        <v>16</v>
      </c>
      <c r="B26" s="79">
        <f>IF('Att A pg 3-5'!$G$92&gt;=A26,A26," ")</f>
        <v>16</v>
      </c>
      <c r="C26" s="80">
        <f>+IF('Att A pg 3-5'!$G$92&gt;='Att A pg 3-5'!A26,('Att A pg 3-5'!C25-'Att A pg 3-5'!E25-'Att A pg 3-5'!O25)," ")</f>
        <v>0.49994499999999964</v>
      </c>
      <c r="D26" s="81">
        <f>+IF('Att A pg 3-5'!$G$92&gt;='Att A pg 3-5'!A26,'Att A pg 3-5'!$G$85*C26," ")</f>
        <v>4.1455439399999967E-2</v>
      </c>
      <c r="E26" s="81">
        <f>+IF('Att A pg 3-5'!$G$92&gt;='Att A pg 3-5'!A26, ((100/'Att A pg 3-5'!$G$92)/100),"")</f>
        <v>2.5000000000000001E-2</v>
      </c>
      <c r="F26" s="81">
        <v>0.01</v>
      </c>
      <c r="G26" s="81">
        <f>+IF('Att A pg 3-5'!$G$92&gt;='Att A pg 3-5'!A26,'Att A pg 3-5'!$G$94," ")</f>
        <v>3.9399999999999999E-3</v>
      </c>
      <c r="H26" s="81">
        <f>+IF('Att A pg 3-5'!$G$92&gt;='Att A pg 3-5'!A26,(+D26+E26+F26+G26)," ")</f>
        <v>8.0395439399999963E-2</v>
      </c>
      <c r="I26" s="81">
        <f>+IF('Att A pg 3-5'!$G$92&gt;='Att A pg 3-5'!A26,(1/((1+'Att A pg 3-5'!$G$84)^'Att A pg 3-5'!B26))," ")</f>
        <v>0.33711784985368687</v>
      </c>
      <c r="J26" s="81">
        <f>+IF('Att A pg 3-5'!$G$92&gt;='Att A pg 3-5'!A26,'Att A pg 3-5'!H26*'Att A pg 3-5'!I26," ")</f>
        <v>2.7102737668570367E-2</v>
      </c>
      <c r="K26" s="81">
        <f>+IF('Att A pg 3-5'!$G$92&gt;='Att A pg 3-5'!A26,'Att A pg 3-5'!K25+'Att A pg 3-5'!J26," ")</f>
        <v>0.9861806078802553</v>
      </c>
      <c r="L26" s="81">
        <f>+IF('Att A pg 3-5'!$G$92&gt;='Att A pg 3-5'!A26,'Att A pg 3-5'!K26*'Att A pg 3-5'!$G$84*(1+'Att A pg 3-5'!$G$84)^'Att A pg 3-5'!B26/((1+'Att A pg 3-5'!$G$84)^'Att A pg 3-5'!B26-1)," ")</f>
        <v>0.1046162131999373</v>
      </c>
      <c r="M26" s="81"/>
      <c r="N26" s="82">
        <v>2.9499999999999998E-2</v>
      </c>
      <c r="O26" s="81">
        <f>+IF('Att A pg 3-5'!$G$92&gt;='Att A pg 3-5'!A26,(('Att A pg 3-5'!N26-'Att A pg 3-5'!E26)*('Att A pg 3-5'!$G$89))," ")</f>
        <v>9.4499999999999933E-4</v>
      </c>
      <c r="P26" s="83">
        <f>IF(+'Att A pg 3-5'!$G$92&gt;='Att A pg 3-5'!A26,+'Att A pg 3-5'!O26+P25,"")</f>
        <v>0.12599999999999997</v>
      </c>
      <c r="Q26" s="81"/>
      <c r="R26" s="81"/>
      <c r="S26" s="81"/>
      <c r="T26" s="84"/>
      <c r="V26" s="81"/>
      <c r="W26" s="86"/>
      <c r="X26" s="85"/>
      <c r="Y26" s="81"/>
      <c r="AA26" s="81"/>
      <c r="AB26" s="81"/>
    </row>
    <row r="27" spans="1:28" x14ac:dyDescent="0.2">
      <c r="A27" s="78">
        <v>17</v>
      </c>
      <c r="B27" s="79">
        <f>IF('Att A pg 3-5'!$G$92&gt;=A27,A27," ")</f>
        <v>17</v>
      </c>
      <c r="C27" s="80">
        <f>+IF('Att A pg 3-5'!$G$92&gt;='Att A pg 3-5'!A27,('Att A pg 3-5'!C26-'Att A pg 3-5'!E26-'Att A pg 3-5'!O26)," ")</f>
        <v>0.47399999999999964</v>
      </c>
      <c r="D27" s="81">
        <f>+IF('Att A pg 3-5'!$G$92&gt;='Att A pg 3-5'!A27,'Att A pg 3-5'!$G$85*C27," ")</f>
        <v>3.930407999999997E-2</v>
      </c>
      <c r="E27" s="81">
        <f>+IF('Att A pg 3-5'!$G$92&gt;='Att A pg 3-5'!A27, ((100/'Att A pg 3-5'!$G$92)/100),"")</f>
        <v>2.5000000000000001E-2</v>
      </c>
      <c r="F27" s="81">
        <v>0.01</v>
      </c>
      <c r="G27" s="81">
        <f>+IF('Att A pg 3-5'!$G$92&gt;='Att A pg 3-5'!A27,'Att A pg 3-5'!$G$94," ")</f>
        <v>3.9399999999999999E-3</v>
      </c>
      <c r="H27" s="81">
        <f>+IF('Att A pg 3-5'!$G$92&gt;='Att A pg 3-5'!A27,(+D27+E27+F27+G27)," ")</f>
        <v>7.8244079999999966E-2</v>
      </c>
      <c r="I27" s="81">
        <f>+IF('Att A pg 3-5'!$G$92&gt;='Att A pg 3-5'!A27,(1/((1+'Att A pg 3-5'!$G$84)^'Att A pg 3-5'!B27))," ")</f>
        <v>0.31496921467756078</v>
      </c>
      <c r="J27" s="81">
        <f>+IF('Att A pg 3-5'!$G$92&gt;='Att A pg 3-5'!A27,'Att A pg 3-5'!H27*'Att A pg 3-5'!I27," ")</f>
        <v>2.4644476430768229E-2</v>
      </c>
      <c r="K27" s="81">
        <f>+IF('Att A pg 3-5'!$G$92&gt;='Att A pg 3-5'!A27,'Att A pg 3-5'!K26+'Att A pg 3-5'!J27," ")</f>
        <v>1.0108250843110236</v>
      </c>
      <c r="L27" s="81">
        <f>+IF('Att A pg 3-5'!$G$92&gt;='Att A pg 3-5'!A27,'Att A pg 3-5'!K27*'Att A pg 3-5'!$G$84*(1+'Att A pg 3-5'!$G$84)^'Att A pg 3-5'!B27/((1+'Att A pg 3-5'!$G$84)^'Att A pg 3-5'!B27-1)," ")</f>
        <v>0.10376354092654937</v>
      </c>
      <c r="M27" s="81"/>
      <c r="N27" s="82">
        <v>0</v>
      </c>
      <c r="O27" s="81">
        <f>+IF('Att A pg 3-5'!$G$92&gt;='Att A pg 3-5'!A27,(('Att A pg 3-5'!N27-'Att A pg 3-5'!E27)*('Att A pg 3-5'!$G$89))," ")</f>
        <v>-5.2500000000000003E-3</v>
      </c>
      <c r="P27" s="83">
        <f>IF(+'Att A pg 3-5'!$G$92&gt;='Att A pg 3-5'!A27,+'Att A pg 3-5'!O27+P26,"")</f>
        <v>0.12074999999999997</v>
      </c>
      <c r="Q27" s="81"/>
      <c r="R27" s="81"/>
      <c r="S27" s="81"/>
      <c r="T27" s="84"/>
      <c r="V27" s="81"/>
      <c r="W27" s="86"/>
      <c r="X27" s="85"/>
      <c r="Y27" s="81"/>
      <c r="AA27" s="81"/>
      <c r="AB27" s="81"/>
    </row>
    <row r="28" spans="1:28" x14ac:dyDescent="0.2">
      <c r="A28" s="78">
        <v>18</v>
      </c>
      <c r="B28" s="79">
        <f>IF('Att A pg 3-5'!$G$92&gt;=A28,A28," ")</f>
        <v>18</v>
      </c>
      <c r="C28" s="80">
        <f>+IF('Att A pg 3-5'!$G$92&gt;='Att A pg 3-5'!A28,('Att A pg 3-5'!C27-'Att A pg 3-5'!E27-'Att A pg 3-5'!O27)," ")</f>
        <v>0.4542499999999996</v>
      </c>
      <c r="D28" s="81">
        <f>+IF('Att A pg 3-5'!$G$92&gt;='Att A pg 3-5'!A28,'Att A pg 3-5'!$G$85*C28," ")</f>
        <v>3.7666409999999963E-2</v>
      </c>
      <c r="E28" s="81">
        <f>+IF('Att A pg 3-5'!$G$92&gt;='Att A pg 3-5'!A28, ((100/'Att A pg 3-5'!$G$92)/100),"")</f>
        <v>2.5000000000000001E-2</v>
      </c>
      <c r="F28" s="81">
        <v>0.01</v>
      </c>
      <c r="G28" s="81">
        <f>+IF('Att A pg 3-5'!$G$92&gt;='Att A pg 3-5'!A28,'Att A pg 3-5'!$G$94," ")</f>
        <v>3.9399999999999999E-3</v>
      </c>
      <c r="H28" s="81">
        <f>+IF('Att A pg 3-5'!$G$92&gt;='Att A pg 3-5'!A28,(+D28+E28+F28+G28)," ")</f>
        <v>7.6606409999999958E-2</v>
      </c>
      <c r="I28" s="81">
        <f>+IF('Att A pg 3-5'!$G$92&gt;='Att A pg 3-5'!A28,(1/((1+'Att A pg 3-5'!$G$84)^'Att A pg 3-5'!B28))," ")</f>
        <v>0.29427574433586295</v>
      </c>
      <c r="J28" s="81">
        <f>+IF('Att A pg 3-5'!$G$92&gt;='Att A pg 3-5'!A28,'Att A pg 3-5'!H28*'Att A pg 3-5'!I28," ")</f>
        <v>2.2543408323648283E-2</v>
      </c>
      <c r="K28" s="81">
        <f>+IF('Att A pg 3-5'!$G$92&gt;='Att A pg 3-5'!A28,'Att A pg 3-5'!K27+'Att A pg 3-5'!J28," ")</f>
        <v>1.0333684926346718</v>
      </c>
      <c r="L28" s="81">
        <f>+IF('Att A pg 3-5'!$G$92&gt;='Att A pg 3-5'!A28,'Att A pg 3-5'!K28*'Att A pg 3-5'!$G$84*(1+'Att A pg 3-5'!$G$84)^'Att A pg 3-5'!B28/((1+'Att A pg 3-5'!$G$84)^'Att A pg 3-5'!B28-1)," ")</f>
        <v>0.10296723092461341</v>
      </c>
      <c r="M28" s="81"/>
      <c r="N28" s="82">
        <v>0</v>
      </c>
      <c r="O28" s="81">
        <f>+IF('Att A pg 3-5'!$G$92&gt;='Att A pg 3-5'!A28,(('Att A pg 3-5'!N28-'Att A pg 3-5'!E28)*('Att A pg 3-5'!$G$89))," ")</f>
        <v>-5.2500000000000003E-3</v>
      </c>
      <c r="P28" s="83">
        <f>IF(+'Att A pg 3-5'!$G$92&gt;='Att A pg 3-5'!A28,+'Att A pg 3-5'!O28+P27,"")</f>
        <v>0.11549999999999996</v>
      </c>
      <c r="Q28" s="81"/>
      <c r="R28" s="81"/>
      <c r="S28" s="81"/>
      <c r="T28" s="84"/>
      <c r="V28" s="81"/>
      <c r="W28" s="86"/>
      <c r="X28" s="85"/>
      <c r="Y28" s="81"/>
      <c r="AA28" s="81"/>
      <c r="AB28" s="81"/>
    </row>
    <row r="29" spans="1:28" x14ac:dyDescent="0.2">
      <c r="A29" s="78">
        <v>19</v>
      </c>
      <c r="B29" s="79">
        <f>IF('Att A pg 3-5'!$G$92&gt;=A29,A29," ")</f>
        <v>19</v>
      </c>
      <c r="C29" s="80">
        <f>+IF('Att A pg 3-5'!$G$92&gt;='Att A pg 3-5'!A29,('Att A pg 3-5'!C28-'Att A pg 3-5'!E28-'Att A pg 3-5'!O28)," ")</f>
        <v>0.43449999999999955</v>
      </c>
      <c r="D29" s="81">
        <f>+IF('Att A pg 3-5'!$G$92&gt;='Att A pg 3-5'!A29,'Att A pg 3-5'!$G$85*C29," ")</f>
        <v>3.6028739999999962E-2</v>
      </c>
      <c r="E29" s="81">
        <f>+IF('Att A pg 3-5'!$G$92&gt;='Att A pg 3-5'!A29, ((100/'Att A pg 3-5'!$G$92)/100),"")</f>
        <v>2.5000000000000001E-2</v>
      </c>
      <c r="F29" s="81">
        <v>0.01</v>
      </c>
      <c r="G29" s="81">
        <f>+IF('Att A pg 3-5'!$G$92&gt;='Att A pg 3-5'!A29,'Att A pg 3-5'!$G$94," ")</f>
        <v>3.9399999999999999E-3</v>
      </c>
      <c r="H29" s="81">
        <f>+IF('Att A pg 3-5'!$G$92&gt;='Att A pg 3-5'!A29,(+D29+E29+F29+G29)," ")</f>
        <v>7.4968739999999964E-2</v>
      </c>
      <c r="I29" s="81">
        <f>+IF('Att A pg 3-5'!$G$92&gt;='Att A pg 3-5'!A29,(1/((1+'Att A pg 3-5'!$G$84)^'Att A pg 3-5'!B29))," ")</f>
        <v>0.27494183453160081</v>
      </c>
      <c r="J29" s="81">
        <f>+IF('Att A pg 3-5'!$G$92&gt;='Att A pg 3-5'!A29,'Att A pg 3-5'!H29*'Att A pg 3-5'!I29," ")</f>
        <v>2.0612042908122595E-2</v>
      </c>
      <c r="K29" s="81">
        <f>+IF('Att A pg 3-5'!$G$92&gt;='Att A pg 3-5'!A29,'Att A pg 3-5'!K28+'Att A pg 3-5'!J29," ")</f>
        <v>1.0539805355427945</v>
      </c>
      <c r="L29" s="81">
        <f>+IF('Att A pg 3-5'!$G$92&gt;='Att A pg 3-5'!A29,'Att A pg 3-5'!K29*'Att A pg 3-5'!$G$84*(1+'Att A pg 3-5'!$G$84)^'Att A pg 3-5'!B29/((1+'Att A pg 3-5'!$G$84)^'Att A pg 3-5'!B29-1)," ")</f>
        <v>0.10222064213495098</v>
      </c>
      <c r="M29" s="81"/>
      <c r="N29" s="82">
        <v>0</v>
      </c>
      <c r="O29" s="81">
        <f>+IF('Att A pg 3-5'!$G$92&gt;='Att A pg 3-5'!A29,(('Att A pg 3-5'!N29-'Att A pg 3-5'!E29)*('Att A pg 3-5'!$G$89))," ")</f>
        <v>-5.2500000000000003E-3</v>
      </c>
      <c r="P29" s="83">
        <f>IF(+'Att A pg 3-5'!$G$92&gt;='Att A pg 3-5'!A29,+'Att A pg 3-5'!O29+P28,"")</f>
        <v>0.11024999999999996</v>
      </c>
      <c r="Q29" s="81"/>
      <c r="R29" s="81"/>
      <c r="S29" s="81"/>
      <c r="T29" s="84"/>
      <c r="V29" s="81"/>
      <c r="W29" s="86"/>
      <c r="X29" s="85"/>
      <c r="Y29" s="81"/>
      <c r="AA29" s="81"/>
      <c r="AB29" s="81"/>
    </row>
    <row r="30" spans="1:28" x14ac:dyDescent="0.2">
      <c r="A30" s="78">
        <v>20</v>
      </c>
      <c r="B30" s="79">
        <f>IF('Att A pg 3-5'!$G$92&gt;=A30,A30," ")</f>
        <v>20</v>
      </c>
      <c r="C30" s="80">
        <f>+IF('Att A pg 3-5'!$G$92&gt;='Att A pg 3-5'!A30,('Att A pg 3-5'!C29-'Att A pg 3-5'!E29-'Att A pg 3-5'!O29)," ")</f>
        <v>0.41474999999999951</v>
      </c>
      <c r="D30" s="81">
        <f>+IF('Att A pg 3-5'!$G$92&gt;='Att A pg 3-5'!A30,'Att A pg 3-5'!$G$85*C30," ")</f>
        <v>3.4391069999999954E-2</v>
      </c>
      <c r="E30" s="81">
        <f>+IF('Att A pg 3-5'!$G$92&gt;='Att A pg 3-5'!A30, ((100/'Att A pg 3-5'!$G$92)/100),"")</f>
        <v>2.5000000000000001E-2</v>
      </c>
      <c r="F30" s="81">
        <v>0.01</v>
      </c>
      <c r="G30" s="81">
        <f>+IF('Att A pg 3-5'!$G$92&gt;='Att A pg 3-5'!A30,'Att A pg 3-5'!$G$94," ")</f>
        <v>3.9399999999999999E-3</v>
      </c>
      <c r="H30" s="81">
        <f>+IF('Att A pg 3-5'!$G$92&gt;='Att A pg 3-5'!A30,(+D30+E30+F30+G30)," ")</f>
        <v>7.3331069999999957E-2</v>
      </c>
      <c r="I30" s="81">
        <f>+IF('Att A pg 3-5'!$G$92&gt;='Att A pg 3-5'!A30,(1/((1+'Att A pg 3-5'!$G$84)^'Att A pg 3-5'!B30))," ")</f>
        <v>0.25687816216795056</v>
      </c>
      <c r="J30" s="81">
        <f>+IF('Att A pg 3-5'!$G$92&gt;='Att A pg 3-5'!A30,'Att A pg 3-5'!H30*'Att A pg 3-5'!I30," ")</f>
        <v>1.8837150491409323E-2</v>
      </c>
      <c r="K30" s="81">
        <f>+IF('Att A pg 3-5'!$G$92&gt;='Att A pg 3-5'!A30,'Att A pg 3-5'!K29+'Att A pg 3-5'!J30," ")</f>
        <v>1.0728176860342038</v>
      </c>
      <c r="L30" s="81">
        <f>+IF('Att A pg 3-5'!$G$92&gt;='Att A pg 3-5'!A30,'Att A pg 3-5'!K30*'Att A pg 3-5'!$G$84*(1+'Att A pg 3-5'!$G$84)^'Att A pg 3-5'!B30/((1+'Att A pg 3-5'!$G$84)^'Att A pg 3-5'!B30-1)," ")</f>
        <v>0.10151839959650771</v>
      </c>
      <c r="M30" s="81"/>
      <c r="N30" s="82">
        <v>0</v>
      </c>
      <c r="O30" s="81">
        <f>+IF('Att A pg 3-5'!$G$92&gt;='Att A pg 3-5'!A30,(('Att A pg 3-5'!N30-'Att A pg 3-5'!E30)*('Att A pg 3-5'!$G$89))," ")</f>
        <v>-5.2500000000000003E-3</v>
      </c>
      <c r="P30" s="83">
        <f>IF(+'Att A pg 3-5'!$G$92&gt;='Att A pg 3-5'!A30,+'Att A pg 3-5'!O30+P29,"")</f>
        <v>0.10499999999999995</v>
      </c>
      <c r="Q30" s="81"/>
      <c r="R30" s="81"/>
      <c r="S30" s="81"/>
      <c r="T30" s="84"/>
      <c r="V30" s="81"/>
      <c r="W30" s="86"/>
      <c r="X30" s="85"/>
      <c r="Y30" s="81"/>
      <c r="AA30" s="81"/>
      <c r="AB30" s="81"/>
    </row>
    <row r="31" spans="1:28" x14ac:dyDescent="0.2">
      <c r="A31" s="78">
        <v>21</v>
      </c>
      <c r="B31" s="79">
        <f>IF('Att A pg 3-5'!$G$92&gt;=A31,A31," ")</f>
        <v>21</v>
      </c>
      <c r="C31" s="80">
        <f>+IF('Att A pg 3-5'!$G$92&gt;='Att A pg 3-5'!A31,('Att A pg 3-5'!C30-'Att A pg 3-5'!E30-'Att A pg 3-5'!O30)," ")</f>
        <v>0.39499999999999946</v>
      </c>
      <c r="D31" s="81">
        <f>+IF('Att A pg 3-5'!$G$92&gt;='Att A pg 3-5'!A31,'Att A pg 3-5'!$G$85*C31," ")</f>
        <v>3.2753399999999953E-2</v>
      </c>
      <c r="E31" s="81">
        <f>+IF('Att A pg 3-5'!$G$92&gt;='Att A pg 3-5'!A31, ((100/'Att A pg 3-5'!$G$92)/100),"")</f>
        <v>2.5000000000000001E-2</v>
      </c>
      <c r="F31" s="81">
        <v>0.01</v>
      </c>
      <c r="G31" s="81">
        <f>+IF('Att A pg 3-5'!$G$92&gt;='Att A pg 3-5'!A31,'Att A pg 3-5'!$G$94," ")</f>
        <v>3.9399999999999999E-3</v>
      </c>
      <c r="H31" s="81">
        <f>+IF('Att A pg 3-5'!$G$92&gt;='Att A pg 3-5'!A31,(+D31+E31+F31+G31)," ")</f>
        <v>7.1693399999999949E-2</v>
      </c>
      <c r="I31" s="81">
        <f>+IF('Att A pg 3-5'!$G$92&gt;='Att A pg 3-5'!A31,(1/((1+'Att A pg 3-5'!$G$84)^'Att A pg 3-5'!B31))," ")</f>
        <v>0.24000127267354673</v>
      </c>
      <c r="J31" s="81">
        <f>+IF('Att A pg 3-5'!$G$92&gt;='Att A pg 3-5'!A31,'Att A pg 3-5'!H31*'Att A pg 3-5'!I31," ")</f>
        <v>1.7206507242293643E-2</v>
      </c>
      <c r="K31" s="81">
        <f>+IF('Att A pg 3-5'!$G$92&gt;='Att A pg 3-5'!A31,'Att A pg 3-5'!K30+'Att A pg 3-5'!J31," ")</f>
        <v>1.0900241932764974</v>
      </c>
      <c r="L31" s="81">
        <f>+IF('Att A pg 3-5'!$G$92&gt;='Att A pg 3-5'!A31,'Att A pg 3-5'!K31*'Att A pg 3-5'!$G$84*(1+'Att A pg 3-5'!$G$84)^'Att A pg 3-5'!B31/((1+'Att A pg 3-5'!$G$84)^'Att A pg 3-5'!B31-1)," ")</f>
        <v>0.10085609161589884</v>
      </c>
      <c r="M31" s="81"/>
      <c r="N31" s="82">
        <v>0</v>
      </c>
      <c r="O31" s="81">
        <f>+IF('Att A pg 3-5'!$G$92&gt;='Att A pg 3-5'!A31,(('Att A pg 3-5'!N31-'Att A pg 3-5'!E31)*('Att A pg 3-5'!$G$89))," ")</f>
        <v>-5.2500000000000003E-3</v>
      </c>
      <c r="P31" s="83">
        <f>IF(+'Att A pg 3-5'!$G$92&gt;='Att A pg 3-5'!A31,+'Att A pg 3-5'!O31+P30,"")</f>
        <v>9.974999999999995E-2</v>
      </c>
      <c r="Q31" s="81"/>
      <c r="R31" s="81"/>
      <c r="S31" s="81"/>
      <c r="T31" s="84"/>
      <c r="V31" s="81"/>
      <c r="W31" s="86"/>
      <c r="X31" s="85"/>
      <c r="Y31" s="81"/>
      <c r="AA31" s="81"/>
      <c r="AB31" s="81"/>
    </row>
    <row r="32" spans="1:28" x14ac:dyDescent="0.2">
      <c r="A32" s="78">
        <v>22</v>
      </c>
      <c r="B32" s="79">
        <f>IF('Att A pg 3-5'!$G$92&gt;=A32,A32," ")</f>
        <v>22</v>
      </c>
      <c r="C32" s="80">
        <f>+IF('Att A pg 3-5'!$G$92&gt;='Att A pg 3-5'!A32,('Att A pg 3-5'!C31-'Att A pg 3-5'!E31-'Att A pg 3-5'!O31)," ")</f>
        <v>0.37524999999999942</v>
      </c>
      <c r="D32" s="81">
        <f>+IF('Att A pg 3-5'!$G$92&gt;='Att A pg 3-5'!A32,'Att A pg 3-5'!$G$85*C32," ")</f>
        <v>3.1115729999999949E-2</v>
      </c>
      <c r="E32" s="81">
        <f>+IF('Att A pg 3-5'!$G$92&gt;='Att A pg 3-5'!A32, ((100/'Att A pg 3-5'!$G$92)/100),"")</f>
        <v>2.5000000000000001E-2</v>
      </c>
      <c r="F32" s="81">
        <v>0.01</v>
      </c>
      <c r="G32" s="81">
        <f>+IF('Att A pg 3-5'!$G$92&gt;='Att A pg 3-5'!A32,'Att A pg 3-5'!$G$94," ")</f>
        <v>3.9399999999999999E-3</v>
      </c>
      <c r="H32" s="81">
        <f>+IF('Att A pg 3-5'!$G$92&gt;='Att A pg 3-5'!A32,(+D32+E32+F32+G32)," ")</f>
        <v>7.0055729999999941E-2</v>
      </c>
      <c r="I32" s="81">
        <f>+IF('Att A pg 3-5'!$G$92&gt;='Att A pg 3-5'!A32,(1/((1+'Att A pg 3-5'!$G$84)^'Att A pg 3-5'!B32))," ")</f>
        <v>0.22423319444049142</v>
      </c>
      <c r="J32" s="81">
        <f>+IF('Att A pg 3-5'!$G$92&gt;='Att A pg 3-5'!A32,'Att A pg 3-5'!H32*'Att A pg 3-5'!I32," ")</f>
        <v>1.5708820126760555E-2</v>
      </c>
      <c r="K32" s="81">
        <f>+IF('Att A pg 3-5'!$G$92&gt;='Att A pg 3-5'!A32,'Att A pg 3-5'!K31+'Att A pg 3-5'!J32," ")</f>
        <v>1.1057330134032579</v>
      </c>
      <c r="L32" s="81">
        <f>+IF('Att A pg 3-5'!$G$92&gt;='Att A pg 3-5'!A32,'Att A pg 3-5'!K32*'Att A pg 3-5'!$G$84*(1+'Att A pg 3-5'!$G$84)^'Att A pg 3-5'!B32/((1+'Att A pg 3-5'!$G$84)^'Att A pg 3-5'!B32-1)," ")</f>
        <v>0.10023004973309926</v>
      </c>
      <c r="M32" s="81"/>
      <c r="N32" s="82">
        <v>0</v>
      </c>
      <c r="O32" s="81">
        <f>+IF('Att A pg 3-5'!$G$92&gt;='Att A pg 3-5'!A32,(('Att A pg 3-5'!N32-'Att A pg 3-5'!E32)*('Att A pg 3-5'!$G$89))," ")</f>
        <v>-5.2500000000000003E-3</v>
      </c>
      <c r="P32" s="83">
        <f>IF(+'Att A pg 3-5'!$G$92&gt;='Att A pg 3-5'!A32,+'Att A pg 3-5'!O32+P31,"")</f>
        <v>9.4499999999999945E-2</v>
      </c>
      <c r="Q32" s="81"/>
      <c r="R32" s="81"/>
      <c r="S32" s="81"/>
      <c r="T32" s="84"/>
      <c r="V32" s="81"/>
      <c r="W32" s="86"/>
      <c r="X32" s="85"/>
      <c r="Y32" s="81"/>
      <c r="AA32" s="81"/>
      <c r="AB32" s="81"/>
    </row>
    <row r="33" spans="1:28" x14ac:dyDescent="0.2">
      <c r="A33" s="78">
        <v>23</v>
      </c>
      <c r="B33" s="79">
        <f>IF('Att A pg 3-5'!$G$92&gt;=A33,A33," ")</f>
        <v>23</v>
      </c>
      <c r="C33" s="80">
        <f>+IF('Att A pg 3-5'!$G$92&gt;='Att A pg 3-5'!A33,('Att A pg 3-5'!C32-'Att A pg 3-5'!E32-'Att A pg 3-5'!O32)," ")</f>
        <v>0.35549999999999937</v>
      </c>
      <c r="D33" s="81">
        <f>+IF('Att A pg 3-5'!$G$92&gt;='Att A pg 3-5'!A33,'Att A pg 3-5'!$G$85*C33," ")</f>
        <v>2.9478059999999945E-2</v>
      </c>
      <c r="E33" s="81">
        <f>+IF('Att A pg 3-5'!$G$92&gt;='Att A pg 3-5'!A33, ((100/'Att A pg 3-5'!$G$92)/100),"")</f>
        <v>2.5000000000000001E-2</v>
      </c>
      <c r="F33" s="81">
        <v>0.01</v>
      </c>
      <c r="G33" s="81">
        <f>+IF('Att A pg 3-5'!$G$92&gt;='Att A pg 3-5'!A33,'Att A pg 3-5'!$G$94," ")</f>
        <v>3.9399999999999999E-3</v>
      </c>
      <c r="H33" s="81">
        <f>+IF('Att A pg 3-5'!$G$92&gt;='Att A pg 3-5'!A33,(+D33+E33+F33+G33)," ")</f>
        <v>6.8418059999999947E-2</v>
      </c>
      <c r="I33" s="81">
        <f>+IF('Att A pg 3-5'!$G$92&gt;='Att A pg 3-5'!A33,(1/((1+'Att A pg 3-5'!$G$84)^'Att A pg 3-5'!B33))," ")</f>
        <v>0.20950107859377706</v>
      </c>
      <c r="J33" s="81">
        <f>+IF('Att A pg 3-5'!$G$92&gt;='Att A pg 3-5'!A33,'Att A pg 3-5'!H33*'Att A pg 3-5'!I33," ")</f>
        <v>1.4333657365293743E-2</v>
      </c>
      <c r="K33" s="81">
        <f>+IF('Att A pg 3-5'!$G$92&gt;='Att A pg 3-5'!A33,'Att A pg 3-5'!K32+'Att A pg 3-5'!J33," ")</f>
        <v>1.1200666707685516</v>
      </c>
      <c r="L33" s="81">
        <f>+IF('Att A pg 3-5'!$G$92&gt;='Att A pg 3-5'!A33,'Att A pg 3-5'!K33*'Att A pg 3-5'!$G$84*(1+'Att A pg 3-5'!$G$84)^'Att A pg 3-5'!B33/((1+'Att A pg 3-5'!$G$84)^'Att A pg 3-5'!B33-1)," ")</f>
        <v>9.9637186282724388E-2</v>
      </c>
      <c r="M33" s="81"/>
      <c r="N33" s="82">
        <v>0</v>
      </c>
      <c r="O33" s="81">
        <f>+IF('Att A pg 3-5'!$G$92&gt;='Att A pg 3-5'!A33,(('Att A pg 3-5'!N33-'Att A pg 3-5'!E33)*('Att A pg 3-5'!$G$89))," ")</f>
        <v>-5.2500000000000003E-3</v>
      </c>
      <c r="P33" s="83">
        <f>IF(+'Att A pg 3-5'!$G$92&gt;='Att A pg 3-5'!A33,+'Att A pg 3-5'!O33+P32,"")</f>
        <v>8.924999999999994E-2</v>
      </c>
      <c r="Q33" s="81"/>
      <c r="R33" s="81"/>
      <c r="S33" s="81"/>
      <c r="T33" s="84"/>
      <c r="V33" s="81"/>
      <c r="W33" s="86"/>
      <c r="X33" s="85"/>
      <c r="Y33" s="81"/>
      <c r="AA33" s="81"/>
      <c r="AB33" s="81"/>
    </row>
    <row r="34" spans="1:28" x14ac:dyDescent="0.2">
      <c r="A34" s="78">
        <v>24</v>
      </c>
      <c r="B34" s="79">
        <f>IF('Att A pg 3-5'!$G$92&gt;=A34,A34," ")</f>
        <v>24</v>
      </c>
      <c r="C34" s="80">
        <f>+IF('Att A pg 3-5'!$G$92&gt;='Att A pg 3-5'!A34,('Att A pg 3-5'!C33-'Att A pg 3-5'!E33-'Att A pg 3-5'!O33)," ")</f>
        <v>0.33574999999999933</v>
      </c>
      <c r="D34" s="81">
        <f>+IF('Att A pg 3-5'!$G$92&gt;='Att A pg 3-5'!A34,'Att A pg 3-5'!$G$85*C34," ")</f>
        <v>2.7840389999999941E-2</v>
      </c>
      <c r="E34" s="81">
        <f>+IF('Att A pg 3-5'!$G$92&gt;='Att A pg 3-5'!A34, ((100/'Att A pg 3-5'!$G$92)/100),"")</f>
        <v>2.5000000000000001E-2</v>
      </c>
      <c r="F34" s="81">
        <v>0.01</v>
      </c>
      <c r="G34" s="81">
        <f>+IF('Att A pg 3-5'!$G$92&gt;='Att A pg 3-5'!A34,'Att A pg 3-5'!$G$94," ")</f>
        <v>3.9399999999999999E-3</v>
      </c>
      <c r="H34" s="81">
        <f>+IF('Att A pg 3-5'!$G$92&gt;='Att A pg 3-5'!A34,(+D34+E34+F34+G34)," ")</f>
        <v>6.678038999999994E-2</v>
      </c>
      <c r="I34" s="81">
        <f>+IF('Att A pg 3-5'!$G$92&gt;='Att A pg 3-5'!A34,(1/((1+'Att A pg 3-5'!$G$84)^'Att A pg 3-5'!B34))," ")</f>
        <v>0.19573686242785066</v>
      </c>
      <c r="J34" s="81">
        <f>+IF('Att A pg 3-5'!$G$92&gt;='Att A pg 3-5'!A34,'Att A pg 3-5'!H34*'Att A pg 3-5'!I34," ")</f>
        <v>1.3071384010308202E-2</v>
      </c>
      <c r="K34" s="81">
        <f>+IF('Att A pg 3-5'!$G$92&gt;='Att A pg 3-5'!A34,'Att A pg 3-5'!K33+'Att A pg 3-5'!J34," ")</f>
        <v>1.1331380547788599</v>
      </c>
      <c r="L34" s="81">
        <f>+IF('Att A pg 3-5'!$G$92&gt;='Att A pg 3-5'!A34,'Att A pg 3-5'!K34*'Att A pg 3-5'!$G$84*(1+'Att A pg 3-5'!$G$84)^'Att A pg 3-5'!B34/((1+'Att A pg 3-5'!$G$84)^'Att A pg 3-5'!B34-1)," ")</f>
        <v>9.9074872749469051E-2</v>
      </c>
      <c r="M34" s="81"/>
      <c r="N34" s="82">
        <v>0</v>
      </c>
      <c r="O34" s="81">
        <f>+IF('Att A pg 3-5'!$G$92&gt;='Att A pg 3-5'!A34,(('Att A pg 3-5'!N34-'Att A pg 3-5'!E34)*('Att A pg 3-5'!$G$89))," ")</f>
        <v>-5.2500000000000003E-3</v>
      </c>
      <c r="P34" s="83">
        <f>IF(+'Att A pg 3-5'!$G$92&gt;='Att A pg 3-5'!A34,+'Att A pg 3-5'!O34+P33,"")</f>
        <v>8.3999999999999936E-2</v>
      </c>
      <c r="Q34" s="81"/>
      <c r="R34" s="81"/>
      <c r="S34" s="81"/>
      <c r="T34" s="84"/>
      <c r="V34" s="81"/>
      <c r="W34" s="86"/>
      <c r="X34" s="85"/>
      <c r="Y34" s="81"/>
      <c r="AA34" s="81"/>
      <c r="AB34" s="81"/>
    </row>
    <row r="35" spans="1:28" x14ac:dyDescent="0.2">
      <c r="A35" s="78">
        <v>25</v>
      </c>
      <c r="B35" s="79">
        <f>IF('Att A pg 3-5'!$G$92&gt;=A35,A35," ")</f>
        <v>25</v>
      </c>
      <c r="C35" s="80">
        <f>+IF('Att A pg 3-5'!$G$92&gt;='Att A pg 3-5'!A35,('Att A pg 3-5'!C34-'Att A pg 3-5'!E34-'Att A pg 3-5'!O34)," ")</f>
        <v>0.31599999999999928</v>
      </c>
      <c r="D35" s="81">
        <f>+IF('Att A pg 3-5'!$G$92&gt;='Att A pg 3-5'!A35,'Att A pg 3-5'!$G$85*C35," ")</f>
        <v>2.620271999999994E-2</v>
      </c>
      <c r="E35" s="81">
        <f>+IF('Att A pg 3-5'!$G$92&gt;='Att A pg 3-5'!A35, ((100/'Att A pg 3-5'!$G$92)/100),"")</f>
        <v>2.5000000000000001E-2</v>
      </c>
      <c r="F35" s="81">
        <v>0.01</v>
      </c>
      <c r="G35" s="81">
        <f>+IF('Att A pg 3-5'!$G$92&gt;='Att A pg 3-5'!A35,'Att A pg 3-5'!$G$94," ")</f>
        <v>3.9399999999999999E-3</v>
      </c>
      <c r="H35" s="81">
        <f>+IF('Att A pg 3-5'!$G$92&gt;='Att A pg 3-5'!A35,(+D35+E35+F35+G35)," ")</f>
        <v>6.5142719999999946E-2</v>
      </c>
      <c r="I35" s="81">
        <f>+IF('Att A pg 3-5'!$G$92&gt;='Att A pg 3-5'!A35,(1/((1+'Att A pg 3-5'!$G$84)^'Att A pg 3-5'!B35))," ")</f>
        <v>0.18287695495538778</v>
      </c>
      <c r="J35" s="81">
        <f>+IF('Att A pg 3-5'!$G$92&gt;='Att A pg 3-5'!A35,'Att A pg 3-5'!H35*'Att A pg 3-5'!I35," ")</f>
        <v>1.1913102271111429E-2</v>
      </c>
      <c r="K35" s="81">
        <f>+IF('Att A pg 3-5'!$G$92&gt;='Att A pg 3-5'!A35,'Att A pg 3-5'!K34+'Att A pg 3-5'!J35," ")</f>
        <v>1.1450511570499713</v>
      </c>
      <c r="L35" s="81">
        <f>+IF('Att A pg 3-5'!$G$92&gt;='Att A pg 3-5'!A35,'Att A pg 3-5'!K35*'Att A pg 3-5'!$G$84*(1+'Att A pg 3-5'!$G$84)^'Att A pg 3-5'!B35/((1+'Att A pg 3-5'!$G$84)^'Att A pg 3-5'!B35-1)," ")</f>
        <v>9.8540847491772596E-2</v>
      </c>
      <c r="M35" s="81"/>
      <c r="N35" s="82">
        <v>0</v>
      </c>
      <c r="O35" s="81">
        <f>+IF('Att A pg 3-5'!$G$92&gt;='Att A pg 3-5'!A35,(('Att A pg 3-5'!N35-'Att A pg 3-5'!E35)*('Att A pg 3-5'!$G$89))," ")</f>
        <v>-5.2500000000000003E-3</v>
      </c>
      <c r="P35" s="83">
        <f>IF(+'Att A pg 3-5'!$G$92&gt;='Att A pg 3-5'!A35,+'Att A pg 3-5'!O35+P34,"")</f>
        <v>7.8749999999999931E-2</v>
      </c>
      <c r="Q35" s="81"/>
      <c r="R35" s="81"/>
      <c r="S35" s="81"/>
      <c r="T35" s="84"/>
      <c r="V35" s="81"/>
      <c r="W35" s="86"/>
      <c r="X35" s="85"/>
      <c r="Y35" s="81"/>
      <c r="AA35" s="81"/>
      <c r="AB35" s="81"/>
    </row>
    <row r="36" spans="1:28" x14ac:dyDescent="0.2">
      <c r="A36" s="78">
        <v>26</v>
      </c>
      <c r="B36" s="79">
        <f>IF('Att A pg 3-5'!$G$92&gt;=A36,A36," ")</f>
        <v>26</v>
      </c>
      <c r="C36" s="80">
        <f>+IF('Att A pg 3-5'!$G$92&gt;='Att A pg 3-5'!A36,('Att A pg 3-5'!C35-'Att A pg 3-5'!E35-'Att A pg 3-5'!O35)," ")</f>
        <v>0.29624999999999924</v>
      </c>
      <c r="D36" s="81">
        <f>+IF('Att A pg 3-5'!$G$92&gt;='Att A pg 3-5'!A36,'Att A pg 3-5'!$G$85*C36," ")</f>
        <v>2.4565049999999936E-2</v>
      </c>
      <c r="E36" s="81">
        <f>+IF('Att A pg 3-5'!$G$92&gt;='Att A pg 3-5'!A36, ((100/'Att A pg 3-5'!$G$92)/100),"")</f>
        <v>2.5000000000000001E-2</v>
      </c>
      <c r="F36" s="81">
        <v>0.01</v>
      </c>
      <c r="G36" s="81">
        <f>+IF('Att A pg 3-5'!$G$92&gt;='Att A pg 3-5'!A36,'Att A pg 3-5'!$G$94," ")</f>
        <v>3.9399999999999999E-3</v>
      </c>
      <c r="H36" s="81">
        <f>+IF('Att A pg 3-5'!$G$92&gt;='Att A pg 3-5'!A36,(+D36+E36+F36+G36)," ")</f>
        <v>6.3505049999999938E-2</v>
      </c>
      <c r="I36" s="81">
        <f>+IF('Att A pg 3-5'!$G$92&gt;='Att A pg 3-5'!A36,(1/((1+'Att A pg 3-5'!$G$84)^'Att A pg 3-5'!B36))," ")</f>
        <v>0.17086194311550545</v>
      </c>
      <c r="J36" s="81">
        <f>+IF('Att A pg 3-5'!$G$92&gt;='Att A pg 3-5'!A36,'Att A pg 3-5'!H36*'Att A pg 3-5'!I36," ")</f>
        <v>1.0850596240647319E-2</v>
      </c>
      <c r="K36" s="81">
        <f>+IF('Att A pg 3-5'!$G$92&gt;='Att A pg 3-5'!A36,'Att A pg 3-5'!K35+'Att A pg 3-5'!J36," ")</f>
        <v>1.1559017532906186</v>
      </c>
      <c r="L36" s="81">
        <f>+IF('Att A pg 3-5'!$G$92&gt;='Att A pg 3-5'!A36,'Att A pg 3-5'!K36*'Att A pg 3-5'!$G$84*(1+'Att A pg 3-5'!$G$84)^'Att A pg 3-5'!B36/((1+'Att A pg 3-5'!$G$84)^'Att A pg 3-5'!B36-1)," ")</f>
        <v>9.8033144922594795E-2</v>
      </c>
      <c r="M36" s="81"/>
      <c r="N36" s="82">
        <v>0</v>
      </c>
      <c r="O36" s="81">
        <f>+IF('Att A pg 3-5'!$G$92&gt;='Att A pg 3-5'!A36,(('Att A pg 3-5'!N36-'Att A pg 3-5'!E36)*('Att A pg 3-5'!$G$89))," ")</f>
        <v>-5.2500000000000003E-3</v>
      </c>
      <c r="P36" s="83">
        <f>IF(+'Att A pg 3-5'!$G$92&gt;='Att A pg 3-5'!A36,+'Att A pg 3-5'!O36+P35,"")</f>
        <v>7.3499999999999927E-2</v>
      </c>
      <c r="Q36" s="81"/>
      <c r="R36" s="81"/>
      <c r="S36" s="81"/>
      <c r="T36" s="84"/>
      <c r="V36" s="81"/>
      <c r="W36" s="86"/>
      <c r="X36" s="85"/>
      <c r="Y36" s="81"/>
      <c r="AA36" s="81"/>
      <c r="AB36" s="81"/>
    </row>
    <row r="37" spans="1:28" x14ac:dyDescent="0.2">
      <c r="A37" s="78">
        <v>27</v>
      </c>
      <c r="B37" s="79">
        <f>IF('Att A pg 3-5'!$G$92&gt;=A37,A37," ")</f>
        <v>27</v>
      </c>
      <c r="C37" s="80">
        <f>+IF('Att A pg 3-5'!$G$92&gt;='Att A pg 3-5'!A37,('Att A pg 3-5'!C36-'Att A pg 3-5'!E36-'Att A pg 3-5'!O36)," ")</f>
        <v>0.27649999999999919</v>
      </c>
      <c r="D37" s="81">
        <f>+IF('Att A pg 3-5'!$G$92&gt;='Att A pg 3-5'!A37,'Att A pg 3-5'!$G$85*C37," ")</f>
        <v>2.2927379999999931E-2</v>
      </c>
      <c r="E37" s="81">
        <f>+IF('Att A pg 3-5'!$G$92&gt;='Att A pg 3-5'!A37, ((100/'Att A pg 3-5'!$G$92)/100),"")</f>
        <v>2.5000000000000001E-2</v>
      </c>
      <c r="F37" s="81">
        <v>0.01</v>
      </c>
      <c r="G37" s="81">
        <f>+IF('Att A pg 3-5'!$G$92&gt;='Att A pg 3-5'!A37,'Att A pg 3-5'!$G$94," ")</f>
        <v>3.9399999999999999E-3</v>
      </c>
      <c r="H37" s="81">
        <f>+IF('Att A pg 3-5'!$G$92&gt;='Att A pg 3-5'!A37,(+D37+E37+F37+G37)," ")</f>
        <v>6.1867379999999937E-2</v>
      </c>
      <c r="I37" s="81">
        <f>+IF('Att A pg 3-5'!$G$92&gt;='Att A pg 3-5'!A37,(1/((1+'Att A pg 3-5'!$G$84)^'Att A pg 3-5'!B37))," ")</f>
        <v>0.15963631728408842</v>
      </c>
      <c r="J37" s="81">
        <f>+IF('Att A pg 3-5'!$G$92&gt;='Att A pg 3-5'!A37,'Att A pg 3-5'!H37*'Att A pg 3-5'!I37," ")</f>
        <v>9.8762807032152563E-3</v>
      </c>
      <c r="K37" s="81">
        <f>+IF('Att A pg 3-5'!$G$92&gt;='Att A pg 3-5'!A37,'Att A pg 3-5'!K36+'Att A pg 3-5'!J37," ")</f>
        <v>1.165778033993834</v>
      </c>
      <c r="L37" s="81">
        <f>+IF('Att A pg 3-5'!$G$92&gt;='Att A pg 3-5'!A37,'Att A pg 3-5'!K37*'Att A pg 3-5'!$G$84*(1+'Att A pg 3-5'!$G$84)^'Att A pg 3-5'!B37/((1+'Att A pg 3-5'!$G$84)^'Att A pg 3-5'!B37-1)," ")</f>
        <v>9.7550040579465674E-2</v>
      </c>
      <c r="M37" s="81"/>
      <c r="N37" s="82">
        <v>0</v>
      </c>
      <c r="O37" s="81">
        <f>+IF('Att A pg 3-5'!$G$92&gt;='Att A pg 3-5'!A37,(('Att A pg 3-5'!N37-'Att A pg 3-5'!E37)*('Att A pg 3-5'!$G$89))," ")</f>
        <v>-5.2500000000000003E-3</v>
      </c>
      <c r="P37" s="83">
        <f>IF(+'Att A pg 3-5'!$G$92&gt;='Att A pg 3-5'!A37,+'Att A pg 3-5'!O37+P36,"")</f>
        <v>6.8249999999999922E-2</v>
      </c>
      <c r="Q37" s="81"/>
      <c r="R37" s="81"/>
      <c r="S37" s="81"/>
      <c r="T37" s="84"/>
      <c r="V37" s="81"/>
      <c r="W37" s="86"/>
      <c r="X37" s="85"/>
      <c r="Y37" s="81"/>
      <c r="AA37" s="81"/>
      <c r="AB37" s="81"/>
    </row>
    <row r="38" spans="1:28" x14ac:dyDescent="0.2">
      <c r="A38" s="78">
        <v>28</v>
      </c>
      <c r="B38" s="79">
        <f>IF('Att A pg 3-5'!$G$92&gt;=A38,A38," ")</f>
        <v>28</v>
      </c>
      <c r="C38" s="80">
        <f>+IF('Att A pg 3-5'!$G$92&gt;='Att A pg 3-5'!A38,('Att A pg 3-5'!C37-'Att A pg 3-5'!E37-'Att A pg 3-5'!O37)," ")</f>
        <v>0.25674999999999915</v>
      </c>
      <c r="D38" s="81">
        <f>+IF('Att A pg 3-5'!$G$92&gt;='Att A pg 3-5'!A38,'Att A pg 3-5'!$G$85*C38," ")</f>
        <v>2.1289709999999927E-2</v>
      </c>
      <c r="E38" s="81">
        <f>+IF('Att A pg 3-5'!$G$92&gt;='Att A pg 3-5'!A38, ((100/'Att A pg 3-5'!$G$92)/100),"")</f>
        <v>2.5000000000000001E-2</v>
      </c>
      <c r="F38" s="81">
        <v>0.01</v>
      </c>
      <c r="G38" s="81">
        <f>+IF('Att A pg 3-5'!$G$92&gt;='Att A pg 3-5'!A38,'Att A pg 3-5'!$G$94," ")</f>
        <v>3.9399999999999999E-3</v>
      </c>
      <c r="H38" s="81">
        <f>+IF('Att A pg 3-5'!$G$92&gt;='Att A pg 3-5'!A38,(+D38+E38+F38+G38)," ")</f>
        <v>6.0229709999999929E-2</v>
      </c>
      <c r="I38" s="81">
        <f>+IF('Att A pg 3-5'!$G$92&gt;='Att A pg 3-5'!A38,(1/((1+'Att A pg 3-5'!$G$84)^'Att A pg 3-5'!B38))," ")</f>
        <v>0.14914821481808097</v>
      </c>
      <c r="J38" s="81">
        <f>+IF('Att A pg 3-5'!$G$92&gt;='Att A pg 3-5'!A38,'Att A pg 3-5'!H38*'Att A pg 3-5'!I38," ")</f>
        <v>8.9831537255107095E-3</v>
      </c>
      <c r="K38" s="81">
        <f>+IF('Att A pg 3-5'!$G$92&gt;='Att A pg 3-5'!A38,'Att A pg 3-5'!K37+'Att A pg 3-5'!J38," ")</f>
        <v>1.1747611877193447</v>
      </c>
      <c r="L38" s="81">
        <f>+IF('Att A pg 3-5'!$G$92&gt;='Att A pg 3-5'!A38,'Att A pg 3-5'!K38*'Att A pg 3-5'!$G$84*(1+'Att A pg 3-5'!$G$84)^'Att A pg 3-5'!B38/((1+'Att A pg 3-5'!$G$84)^'Att A pg 3-5'!B38-1)," ")</f>
        <v>9.7090008106126002E-2</v>
      </c>
      <c r="M38" s="81"/>
      <c r="N38" s="82">
        <v>0</v>
      </c>
      <c r="O38" s="81">
        <f>+IF('Att A pg 3-5'!$G$92&gt;='Att A pg 3-5'!A38,(('Att A pg 3-5'!N38-'Att A pg 3-5'!E38)*('Att A pg 3-5'!$G$89))," ")</f>
        <v>-5.2500000000000003E-3</v>
      </c>
      <c r="P38" s="83">
        <f>IF(+'Att A pg 3-5'!$G$92&gt;='Att A pg 3-5'!A38,+'Att A pg 3-5'!O38+P37,"")</f>
        <v>6.2999999999999917E-2</v>
      </c>
      <c r="Q38" s="81"/>
      <c r="R38" s="81"/>
      <c r="S38" s="81"/>
      <c r="T38" s="84"/>
      <c r="V38" s="81"/>
      <c r="W38" s="86"/>
      <c r="X38" s="85"/>
      <c r="Y38" s="81"/>
      <c r="AA38" s="81"/>
      <c r="AB38" s="81"/>
    </row>
    <row r="39" spans="1:28" x14ac:dyDescent="0.2">
      <c r="A39" s="78">
        <v>29</v>
      </c>
      <c r="B39" s="79">
        <f>IF('Att A pg 3-5'!$G$92&gt;=A39,A39," ")</f>
        <v>29</v>
      </c>
      <c r="C39" s="80">
        <f>+IF('Att A pg 3-5'!$G$92&gt;='Att A pg 3-5'!A39,('Att A pg 3-5'!C38-'Att A pg 3-5'!E38-'Att A pg 3-5'!O38)," ")</f>
        <v>0.23699999999999916</v>
      </c>
      <c r="D39" s="81">
        <f>+IF('Att A pg 3-5'!$G$92&gt;='Att A pg 3-5'!A39,'Att A pg 3-5'!$G$85*C39," ")</f>
        <v>1.965203999999993E-2</v>
      </c>
      <c r="E39" s="81">
        <f>+IF('Att A pg 3-5'!$G$92&gt;='Att A pg 3-5'!A39, ((100/'Att A pg 3-5'!$G$92)/100),"")</f>
        <v>2.5000000000000001E-2</v>
      </c>
      <c r="F39" s="81">
        <v>0.01</v>
      </c>
      <c r="G39" s="81">
        <f>+IF('Att A pg 3-5'!$G$92&gt;='Att A pg 3-5'!A39,'Att A pg 3-5'!$G$94," ")</f>
        <v>3.9399999999999999E-3</v>
      </c>
      <c r="H39" s="81">
        <f>+IF('Att A pg 3-5'!$G$92&gt;='Att A pg 3-5'!A39,(+D39+E39+F39+G39)," ")</f>
        <v>5.8592039999999936E-2</v>
      </c>
      <c r="I39" s="81">
        <f>+IF('Att A pg 3-5'!$G$92&gt;='Att A pg 3-5'!A39,(1/((1+'Att A pg 3-5'!$G$84)^'Att A pg 3-5'!B39))," ")</f>
        <v>0.13934918044891337</v>
      </c>
      <c r="J39" s="81">
        <f>+IF('Att A pg 3-5'!$G$92&gt;='Att A pg 3-5'!A39,'Att A pg 3-5'!H39*'Att A pg 3-5'!I39," ")</f>
        <v>8.1647527548299407E-3</v>
      </c>
      <c r="K39" s="81">
        <f>+IF('Att A pg 3-5'!$G$92&gt;='Att A pg 3-5'!A39,'Att A pg 3-5'!K38+'Att A pg 3-5'!J39," ")</f>
        <v>1.1829259404741745</v>
      </c>
      <c r="L39" s="81">
        <f>+IF('Att A pg 3-5'!$G$92&gt;='Att A pg 3-5'!A39,'Att A pg 3-5'!K39*'Att A pg 3-5'!$G$84*(1+'Att A pg 3-5'!$G$84)^'Att A pg 3-5'!B39/((1+'Att A pg 3-5'!$G$84)^'Att A pg 3-5'!B39-1)," ")</f>
        <v>9.6651685264800183E-2</v>
      </c>
      <c r="M39" s="81"/>
      <c r="N39" s="82">
        <v>0</v>
      </c>
      <c r="O39" s="81">
        <f>+IF('Att A pg 3-5'!$G$92&gt;='Att A pg 3-5'!A39,(('Att A pg 3-5'!N39-'Att A pg 3-5'!E39)*('Att A pg 3-5'!$G$89))," ")</f>
        <v>-5.2500000000000003E-3</v>
      </c>
      <c r="P39" s="83">
        <f>IF(+'Att A pg 3-5'!$G$92&gt;='Att A pg 3-5'!A39,+'Att A pg 3-5'!O39+P38,"")</f>
        <v>5.7749999999999919E-2</v>
      </c>
      <c r="Q39" s="81"/>
      <c r="R39" s="81"/>
      <c r="S39" s="81"/>
      <c r="T39" s="84"/>
      <c r="V39" s="81"/>
      <c r="W39" s="86"/>
      <c r="X39" s="85"/>
      <c r="Y39" s="81"/>
      <c r="AA39" s="81"/>
      <c r="AB39" s="81"/>
    </row>
    <row r="40" spans="1:28" x14ac:dyDescent="0.2">
      <c r="A40" s="78">
        <v>30</v>
      </c>
      <c r="B40" s="79">
        <f>IF('Att A pg 3-5'!$G$92&gt;=A40,A40," ")</f>
        <v>30</v>
      </c>
      <c r="C40" s="80">
        <f>+IF('Att A pg 3-5'!$G$92&gt;='Att A pg 3-5'!A40,('Att A pg 3-5'!C39-'Att A pg 3-5'!E39-'Att A pg 3-5'!O39)," ")</f>
        <v>0.21724999999999917</v>
      </c>
      <c r="D40" s="81">
        <f>+IF('Att A pg 3-5'!$G$92&gt;='Att A pg 3-5'!A40,'Att A pg 3-5'!$G$85*C40," ")</f>
        <v>1.8014369999999929E-2</v>
      </c>
      <c r="E40" s="81">
        <f>+IF('Att A pg 3-5'!$G$92&gt;='Att A pg 3-5'!A40, ((100/'Att A pg 3-5'!$G$92)/100),"")</f>
        <v>2.5000000000000001E-2</v>
      </c>
      <c r="F40" s="81">
        <v>0.01</v>
      </c>
      <c r="G40" s="81">
        <f>+IF('Att A pg 3-5'!$G$92&gt;='Att A pg 3-5'!A40,'Att A pg 3-5'!$G$94," ")</f>
        <v>3.9399999999999999E-3</v>
      </c>
      <c r="H40" s="81">
        <f>+IF('Att A pg 3-5'!$G$92&gt;='Att A pg 3-5'!A40,(+D40+E40+F40+G40)," ")</f>
        <v>5.6954369999999928E-2</v>
      </c>
      <c r="I40" s="81">
        <f>+IF('Att A pg 3-5'!$G$92&gt;='Att A pg 3-5'!A40,(1/((1+'Att A pg 3-5'!$G$84)^'Att A pg 3-5'!B40))," ")</f>
        <v>0.13019394241807439</v>
      </c>
      <c r="J40" s="81">
        <f>+IF('Att A pg 3-5'!$G$92&gt;='Att A pg 3-5'!A40,'Att A pg 3-5'!H40*'Att A pg 3-5'!I40," ")</f>
        <v>7.4151139682376941E-3</v>
      </c>
      <c r="K40" s="81">
        <f>+IF('Att A pg 3-5'!$G$92&gt;='Att A pg 3-5'!A40,'Att A pg 3-5'!K39+'Att A pg 3-5'!J40," ")</f>
        <v>1.1903410544424122</v>
      </c>
      <c r="L40" s="81">
        <f>+IF('Att A pg 3-5'!$G$92&gt;='Att A pg 3-5'!A40,'Att A pg 3-5'!K40*'Att A pg 3-5'!$G$84*(1+'Att A pg 3-5'!$G$84)^'Att A pg 3-5'!B40/((1+'Att A pg 3-5'!$G$84)^'Att A pg 3-5'!B40-1)," ")</f>
        <v>9.6233846865922068E-2</v>
      </c>
      <c r="M40" s="81"/>
      <c r="N40" s="82">
        <v>0</v>
      </c>
      <c r="O40" s="81">
        <f>+IF('Att A pg 3-5'!$G$92&gt;='Att A pg 3-5'!A40,(('Att A pg 3-5'!N40-'Att A pg 3-5'!E40)*('Att A pg 3-5'!$G$89))," ")</f>
        <v>-5.2500000000000003E-3</v>
      </c>
      <c r="P40" s="83">
        <f>IF(+'Att A pg 3-5'!$G$92&gt;='Att A pg 3-5'!A40,+'Att A pg 3-5'!O40+P39,"")</f>
        <v>5.2499999999999922E-2</v>
      </c>
      <c r="Q40" s="81"/>
      <c r="R40" s="81"/>
      <c r="S40" s="81"/>
      <c r="T40" s="84"/>
      <c r="V40" s="81"/>
      <c r="W40" s="86"/>
      <c r="X40" s="85"/>
      <c r="Y40" s="81"/>
      <c r="AA40" s="81"/>
      <c r="AB40" s="81"/>
    </row>
    <row r="41" spans="1:28" ht="11.25" customHeight="1" x14ac:dyDescent="0.2">
      <c r="A41" s="78">
        <v>31</v>
      </c>
      <c r="B41" s="79">
        <f>IF('Att A pg 3-5'!$G$92&gt;=A41,A41," ")</f>
        <v>31</v>
      </c>
      <c r="C41" s="80">
        <f>+IF('Att A pg 3-5'!$G$92&gt;='Att A pg 3-5'!A41,('Att A pg 3-5'!C40-'Att A pg 3-5'!E40-'Att A pg 3-5'!O40)," ")</f>
        <v>0.19749999999999918</v>
      </c>
      <c r="D41" s="81">
        <f>+IF('Att A pg 3-5'!$G$92&gt;='Att A pg 3-5'!A41,'Att A pg 3-5'!$G$85*C41," ")</f>
        <v>1.6376699999999932E-2</v>
      </c>
      <c r="E41" s="81">
        <f>+IF('Att A pg 3-5'!$G$92&gt;='Att A pg 3-5'!A41, ((100/'Att A pg 3-5'!$G$92)/100),"")</f>
        <v>2.5000000000000001E-2</v>
      </c>
      <c r="F41" s="81">
        <v>0.01</v>
      </c>
      <c r="G41" s="81">
        <f>+IF('Att A pg 3-5'!$G$92&gt;='Att A pg 3-5'!A41,'Att A pg 3-5'!$G$94," ")</f>
        <v>3.9399999999999999E-3</v>
      </c>
      <c r="H41" s="81">
        <f>+IF('Att A pg 3-5'!$G$92&gt;='Att A pg 3-5'!A41,(+D41+E41+F41+G41)," ")</f>
        <v>5.5316699999999934E-2</v>
      </c>
      <c r="I41" s="81">
        <f>+IF('Att A pg 3-5'!$G$92&gt;='Att A pg 3-5'!A41,(1/((1+'Att A pg 3-5'!$G$84)^'Att A pg 3-5'!B41))," ")</f>
        <v>0.12164020332057184</v>
      </c>
      <c r="J41" s="81">
        <f>+IF('Att A pg 3-5'!$G$92&gt;='Att A pg 3-5'!A41,'Att A pg 3-5'!H41*'Att A pg 3-5'!I41," ")</f>
        <v>6.7287346350230681E-3</v>
      </c>
      <c r="K41" s="81">
        <f>+IF('Att A pg 3-5'!$G$92&gt;='Att A pg 3-5'!A41,'Att A pg 3-5'!K40+'Att A pg 3-5'!J41," ")</f>
        <v>1.1970697890774353</v>
      </c>
      <c r="L41" s="81">
        <f>+IF('Att A pg 3-5'!$G$92&gt;='Att A pg 3-5'!A41,'Att A pg 3-5'!K41*'Att A pg 3-5'!$G$84*(1+'Att A pg 3-5'!$G$84)^'Att A pg 3-5'!B41/((1+'Att A pg 3-5'!$G$84)^'Att A pg 3-5'!B41-1)," ")</f>
        <v>9.5835383047076519E-2</v>
      </c>
      <c r="M41" s="81"/>
      <c r="N41" s="82">
        <v>0</v>
      </c>
      <c r="O41" s="81">
        <f>+IF('Att A pg 3-5'!$G$92&gt;='Att A pg 3-5'!A41,(('Att A pg 3-5'!N41-'Att A pg 3-5'!E41)*('Att A pg 3-5'!$G$89))," ")</f>
        <v>-5.2500000000000003E-3</v>
      </c>
      <c r="P41" s="83">
        <f>IF(+'Att A pg 3-5'!$G$92&gt;='Att A pg 3-5'!A41,+'Att A pg 3-5'!O41+P40,"")</f>
        <v>4.7249999999999924E-2</v>
      </c>
      <c r="Q41" s="81"/>
      <c r="R41" s="81"/>
      <c r="S41" s="81"/>
      <c r="T41" s="84"/>
      <c r="V41" s="81"/>
      <c r="W41" s="86"/>
      <c r="X41" s="85"/>
      <c r="Y41" s="81"/>
      <c r="AA41" s="81"/>
      <c r="AB41" s="81"/>
    </row>
    <row r="42" spans="1:28" x14ac:dyDescent="0.2">
      <c r="A42" s="78">
        <v>32</v>
      </c>
      <c r="B42" s="79">
        <f>IF('Att A pg 3-5'!$G$92&gt;=A42,A42," ")</f>
        <v>32</v>
      </c>
      <c r="C42" s="80">
        <f>+IF('Att A pg 3-5'!$G$92&gt;='Att A pg 3-5'!A42,('Att A pg 3-5'!C41-'Att A pg 3-5'!E41-'Att A pg 3-5'!O41)," ")</f>
        <v>0.17774999999999919</v>
      </c>
      <c r="D42" s="81">
        <f>+IF('Att A pg 3-5'!$G$92&gt;='Att A pg 3-5'!A42,'Att A pg 3-5'!$G$85*C42," ")</f>
        <v>1.4739029999999931E-2</v>
      </c>
      <c r="E42" s="81">
        <f>+IF('Att A pg 3-5'!$G$92&gt;='Att A pg 3-5'!A42, ((100/'Att A pg 3-5'!$G$92)/100),"")</f>
        <v>2.5000000000000001E-2</v>
      </c>
      <c r="F42" s="81">
        <v>0.01</v>
      </c>
      <c r="G42" s="81">
        <f>+IF('Att A pg 3-5'!$G$92&gt;='Att A pg 3-5'!A42,'Att A pg 3-5'!$G$94," ")</f>
        <v>3.9399999999999999E-3</v>
      </c>
      <c r="H42" s="81">
        <f>+IF('Att A pg 3-5'!$G$92&gt;='Att A pg 3-5'!A42,(+D42+E42+F42+G42)," ")</f>
        <v>5.3679029999999933E-2</v>
      </c>
      <c r="I42" s="81">
        <f>+IF('Att A pg 3-5'!$G$92&gt;='Att A pg 3-5'!A42,(1/((1+'Att A pg 3-5'!$G$84)^'Att A pg 3-5'!B42))," ")</f>
        <v>0.11364844468997296</v>
      </c>
      <c r="J42" s="81">
        <f>+IF('Att A pg 3-5'!$G$92&gt;='Att A pg 3-5'!A42,'Att A pg 3-5'!H42*'Att A pg 3-5'!I42," ")</f>
        <v>6.1005382719663912E-3</v>
      </c>
      <c r="K42" s="81">
        <f>+IF('Att A pg 3-5'!$G$92&gt;='Att A pg 3-5'!A42,'Att A pg 3-5'!K41+'Att A pg 3-5'!J42," ")</f>
        <v>1.2031703273494017</v>
      </c>
      <c r="L42" s="81">
        <f>+IF('Att A pg 3-5'!$G$92&gt;='Att A pg 3-5'!A42,'Att A pg 3-5'!K42*'Att A pg 3-5'!$G$84*(1+'Att A pg 3-5'!$G$84)^'Att A pg 3-5'!B42/((1+'Att A pg 3-5'!$G$84)^'Att A pg 3-5'!B42-1)," ")</f>
        <v>9.5455281724660834E-2</v>
      </c>
      <c r="M42" s="81"/>
      <c r="N42" s="82">
        <v>0</v>
      </c>
      <c r="O42" s="81">
        <f>+IF('Att A pg 3-5'!$G$92&gt;='Att A pg 3-5'!A42,(('Att A pg 3-5'!N42-'Att A pg 3-5'!E42)*('Att A pg 3-5'!$G$89))," ")</f>
        <v>-5.2500000000000003E-3</v>
      </c>
      <c r="P42" s="83">
        <f>IF(+'Att A pg 3-5'!$G$92&gt;='Att A pg 3-5'!A42,+'Att A pg 3-5'!O42+P41,"")</f>
        <v>4.1999999999999926E-2</v>
      </c>
      <c r="Q42" s="81"/>
      <c r="R42" s="81"/>
      <c r="S42" s="81"/>
      <c r="T42" s="84"/>
      <c r="V42" s="81"/>
      <c r="W42" s="86"/>
      <c r="X42" s="85"/>
      <c r="Y42" s="81"/>
      <c r="AA42" s="81"/>
      <c r="AB42" s="81"/>
    </row>
    <row r="43" spans="1:28" x14ac:dyDescent="0.2">
      <c r="A43" s="78">
        <v>33</v>
      </c>
      <c r="B43" s="79">
        <f>IF('Att A pg 3-5'!$G$92&gt;=A43,A43," ")</f>
        <v>33</v>
      </c>
      <c r="C43" s="80">
        <f>+IF('Att A pg 3-5'!$G$92&gt;='Att A pg 3-5'!A43,('Att A pg 3-5'!C42-'Att A pg 3-5'!E42-'Att A pg 3-5'!O42)," ")</f>
        <v>0.1579999999999992</v>
      </c>
      <c r="D43" s="81">
        <f>+IF('Att A pg 3-5'!$G$92&gt;='Att A pg 3-5'!A43,'Att A pg 3-5'!$G$85*C43," ")</f>
        <v>1.3101359999999932E-2</v>
      </c>
      <c r="E43" s="81">
        <f>+IF('Att A pg 3-5'!$G$92&gt;='Att A pg 3-5'!A43, ((100/'Att A pg 3-5'!$G$92)/100),"")</f>
        <v>2.5000000000000001E-2</v>
      </c>
      <c r="F43" s="81">
        <v>0.01</v>
      </c>
      <c r="G43" s="81">
        <f>+IF('Att A pg 3-5'!$G$92&gt;='Att A pg 3-5'!A43,'Att A pg 3-5'!$G$94," ")</f>
        <v>3.9399999999999999E-3</v>
      </c>
      <c r="H43" s="81">
        <f>+IF('Att A pg 3-5'!$G$92&gt;='Att A pg 3-5'!A43,(+D43+E43+F43+G43)," ")</f>
        <v>5.2041359999999932E-2</v>
      </c>
      <c r="I43" s="81">
        <f>+IF('Att A pg 3-5'!$G$92&gt;='Att A pg 3-5'!A43,(1/((1+'Att A pg 3-5'!$G$84)^'Att A pg 3-5'!B43))," ")</f>
        <v>0.10618174442220359</v>
      </c>
      <c r="J43" s="81">
        <f>+IF('Att A pg 3-5'!$G$92&gt;='Att A pg 3-5'!A43,'Att A pg 3-5'!H43*'Att A pg 3-5'!I43," ")</f>
        <v>5.5258423869038818E-3</v>
      </c>
      <c r="K43" s="81">
        <f>+IF('Att A pg 3-5'!$G$92&gt;='Att A pg 3-5'!A43,'Att A pg 3-5'!K42+'Att A pg 3-5'!J43," ")</f>
        <v>1.2086961697363054</v>
      </c>
      <c r="L43" s="81">
        <f>+IF('Att A pg 3-5'!$G$92&gt;='Att A pg 3-5'!A43,'Att A pg 3-5'!K43*'Att A pg 3-5'!$G$84*(1+'Att A pg 3-5'!$G$84)^'Att A pg 3-5'!B43/((1+'Att A pg 3-5'!$G$84)^'Att A pg 3-5'!B43-1)," ")</f>
        <v>9.5092614326737837E-2</v>
      </c>
      <c r="M43" s="81"/>
      <c r="N43" s="82">
        <v>0</v>
      </c>
      <c r="O43" s="81">
        <f>+IF('Att A pg 3-5'!$G$92&gt;='Att A pg 3-5'!A43,(('Att A pg 3-5'!N43-'Att A pg 3-5'!E43)*('Att A pg 3-5'!$G$89))," ")</f>
        <v>-5.2500000000000003E-3</v>
      </c>
      <c r="P43" s="83">
        <f>IF(+'Att A pg 3-5'!$G$92&gt;='Att A pg 3-5'!A43,+'Att A pg 3-5'!O43+P42,"")</f>
        <v>3.6749999999999929E-2</v>
      </c>
      <c r="Q43" s="81"/>
      <c r="R43" s="81"/>
      <c r="S43" s="81"/>
      <c r="T43" s="84"/>
      <c r="V43" s="81"/>
      <c r="W43" s="86"/>
      <c r="X43" s="85"/>
      <c r="Y43" s="81"/>
      <c r="AA43" s="81"/>
      <c r="AB43" s="81"/>
    </row>
    <row r="44" spans="1:28" x14ac:dyDescent="0.2">
      <c r="A44" s="78">
        <v>34</v>
      </c>
      <c r="B44" s="79">
        <f>IF('Att A pg 3-5'!$G$92&gt;=A44,A44," ")</f>
        <v>34</v>
      </c>
      <c r="C44" s="80">
        <f>+IF('Att A pg 3-5'!$G$92&gt;='Att A pg 3-5'!A44,('Att A pg 3-5'!C43-'Att A pg 3-5'!E43-'Att A pg 3-5'!O43)," ")</f>
        <v>0.13824999999999921</v>
      </c>
      <c r="D44" s="81">
        <f>+IF('Att A pg 3-5'!$G$92&gt;='Att A pg 3-5'!A44,'Att A pg 3-5'!$G$85*C44," ")</f>
        <v>1.1463689999999933E-2</v>
      </c>
      <c r="E44" s="81">
        <f>+IF('Att A pg 3-5'!$G$92&gt;='Att A pg 3-5'!A44, ((100/'Att A pg 3-5'!$G$92)/100),"")</f>
        <v>2.5000000000000001E-2</v>
      </c>
      <c r="F44" s="81">
        <v>0.01</v>
      </c>
      <c r="G44" s="81">
        <f>+IF('Att A pg 3-5'!$G$92&gt;='Att A pg 3-5'!A44,'Att A pg 3-5'!$G$94," ")</f>
        <v>3.9399999999999999E-3</v>
      </c>
      <c r="H44" s="81">
        <f>+IF('Att A pg 3-5'!$G$92&gt;='Att A pg 3-5'!A44,(+D44+E44+F44+G44)," ")</f>
        <v>5.0403689999999939E-2</v>
      </c>
      <c r="I44" s="81">
        <f>+IF('Att A pg 3-5'!$G$92&gt;='Att A pg 3-5'!A44,(1/((1+'Att A pg 3-5'!$G$84)^'Att A pg 3-5'!B44))," ")</f>
        <v>9.920560619459938E-2</v>
      </c>
      <c r="J44" s="81">
        <f>+IF('Att A pg 3-5'!$G$92&gt;='Att A pg 3-5'!A44,'Att A pg 3-5'!H44*'Att A pg 3-5'!I44," ")</f>
        <v>5.0003286208946604E-3</v>
      </c>
      <c r="K44" s="81">
        <f>+IF('Att A pg 3-5'!$G$92&gt;='Att A pg 3-5'!A44,'Att A pg 3-5'!K43+'Att A pg 3-5'!J44," ")</f>
        <v>1.2136964983572001</v>
      </c>
      <c r="L44" s="81">
        <f>+IF('Att A pg 3-5'!$G$92&gt;='Att A pg 3-5'!A44,'Att A pg 3-5'!K44*'Att A pg 3-5'!$G$84*(1+'Att A pg 3-5'!$G$84)^'Att A pg 3-5'!B44/((1+'Att A pg 3-5'!$G$84)^'Att A pg 3-5'!B44-1)," ")</f>
        <v>9.4746524125144491E-2</v>
      </c>
      <c r="M44" s="81"/>
      <c r="N44" s="82">
        <v>0</v>
      </c>
      <c r="O44" s="81">
        <f>+IF('Att A pg 3-5'!$G$92&gt;='Att A pg 3-5'!A44,(('Att A pg 3-5'!N44-'Att A pg 3-5'!E44)*('Att A pg 3-5'!$G$89))," ")</f>
        <v>-5.2500000000000003E-3</v>
      </c>
      <c r="P44" s="83">
        <f>IF(+'Att A pg 3-5'!$G$92&gt;='Att A pg 3-5'!A44,+'Att A pg 3-5'!O44+P43,"")</f>
        <v>3.1499999999999931E-2</v>
      </c>
      <c r="Q44" s="81"/>
      <c r="R44" s="81"/>
      <c r="S44" s="81"/>
      <c r="T44" s="84"/>
      <c r="V44" s="81"/>
      <c r="W44" s="86"/>
      <c r="X44" s="85"/>
      <c r="Y44" s="81"/>
      <c r="AA44" s="81"/>
      <c r="AB44" s="81"/>
    </row>
    <row r="45" spans="1:28" x14ac:dyDescent="0.2">
      <c r="A45" s="78">
        <v>35</v>
      </c>
      <c r="B45" s="79">
        <f>IF('Att A pg 3-5'!$G$92&gt;=A45,A45," ")</f>
        <v>35</v>
      </c>
      <c r="C45" s="80">
        <f>+IF('Att A pg 3-5'!$G$92&gt;='Att A pg 3-5'!A45,('Att A pg 3-5'!C44-'Att A pg 3-5'!E44-'Att A pg 3-5'!O44)," ")</f>
        <v>0.11849999999999922</v>
      </c>
      <c r="D45" s="81">
        <f>+IF('Att A pg 3-5'!$G$92&gt;='Att A pg 3-5'!A45,'Att A pg 3-5'!$G$85*C45," ")</f>
        <v>9.8260199999999336E-3</v>
      </c>
      <c r="E45" s="81">
        <f>+IF('Att A pg 3-5'!$G$92&gt;='Att A pg 3-5'!A45, ((100/'Att A pg 3-5'!$G$92)/100),"")</f>
        <v>2.5000000000000001E-2</v>
      </c>
      <c r="F45" s="81">
        <v>0.01</v>
      </c>
      <c r="G45" s="81">
        <f>+IF('Att A pg 3-5'!$G$92&gt;='Att A pg 3-5'!A45,'Att A pg 3-5'!$G$94," ")</f>
        <v>3.9399999999999999E-3</v>
      </c>
      <c r="H45" s="81">
        <f>+IF('Att A pg 3-5'!$G$92&gt;='Att A pg 3-5'!A45,(+D45+E45+F45+G45)," ")</f>
        <v>4.8766019999999938E-2</v>
      </c>
      <c r="I45" s="81">
        <f>+IF('Att A pg 3-5'!$G$92&gt;='Att A pg 3-5'!A45,(1/((1+'Att A pg 3-5'!$G$84)^'Att A pg 3-5'!B45))," ")</f>
        <v>9.2687800092121436E-2</v>
      </c>
      <c r="J45" s="81">
        <f>+IF('Att A pg 3-5'!$G$92&gt;='Att A pg 3-5'!A45,'Att A pg 3-5'!H45*'Att A pg 3-5'!I45," ")</f>
        <v>4.5200151130483897E-3</v>
      </c>
      <c r="K45" s="81">
        <f>+IF('Att A pg 3-5'!$G$92&gt;='Att A pg 3-5'!A45,'Att A pg 3-5'!K44+'Att A pg 3-5'!J45," ")</f>
        <v>1.2182165134702485</v>
      </c>
      <c r="L45" s="81">
        <f>+IF('Att A pg 3-5'!$G$92&gt;='Att A pg 3-5'!A45,'Att A pg 3-5'!K45*'Att A pg 3-5'!$G$84*(1+'Att A pg 3-5'!$G$84)^'Att A pg 3-5'!B45/((1+'Att A pg 3-5'!$G$84)^'Att A pg 3-5'!B45-1)," ")</f>
        <v>9.4416216640672984E-2</v>
      </c>
      <c r="M45" s="81"/>
      <c r="N45" s="82">
        <v>0</v>
      </c>
      <c r="O45" s="81">
        <f>+IF('Att A pg 3-5'!$G$92&gt;='Att A pg 3-5'!A45,(('Att A pg 3-5'!N45-'Att A pg 3-5'!E45)*('Att A pg 3-5'!$G$89))," ")</f>
        <v>-5.2500000000000003E-3</v>
      </c>
      <c r="P45" s="83">
        <f>IF(+'Att A pg 3-5'!$G$92&gt;='Att A pg 3-5'!A45,+'Att A pg 3-5'!O45+P44,"")</f>
        <v>2.624999999999993E-2</v>
      </c>
      <c r="Q45" s="81"/>
      <c r="R45" s="81"/>
      <c r="S45" s="81"/>
      <c r="T45" s="84"/>
      <c r="V45" s="81"/>
      <c r="W45" s="86"/>
      <c r="X45" s="85"/>
      <c r="Y45" s="81"/>
      <c r="AA45" s="81"/>
      <c r="AB45" s="81"/>
    </row>
    <row r="46" spans="1:28" x14ac:dyDescent="0.2">
      <c r="A46" s="78">
        <v>36</v>
      </c>
      <c r="B46" s="69">
        <f>IF('Att A pg 3-5'!$G$92&gt;=A46,A46," ")</f>
        <v>36</v>
      </c>
      <c r="C46" s="88">
        <f>+IF('Att A pg 3-5'!$G$92&gt;='Att A pg 3-5'!A46,('Att A pg 3-5'!C45-'Att A pg 3-5'!E45-'Att A pg 3-5'!O45)," ")</f>
        <v>9.8749999999999227E-2</v>
      </c>
      <c r="D46" s="82">
        <f>+IF('Att A pg 3-5'!$G$92&gt;='Att A pg 3-5'!A46,'Att A pg 3-5'!$G$85*C46," ")</f>
        <v>8.1883499999999346E-3</v>
      </c>
      <c r="E46" s="82">
        <f>+IF('Att A pg 3-5'!$G$92&gt;='Att A pg 3-5'!A46, ((100/'Att A pg 3-5'!$G$92)/100),"")</f>
        <v>2.5000000000000001E-2</v>
      </c>
      <c r="F46" s="81">
        <v>0.01</v>
      </c>
      <c r="G46" s="82">
        <f>+IF('Att A pg 3-5'!$G$92&gt;='Att A pg 3-5'!A46,'Att A pg 3-5'!$G$94," ")</f>
        <v>3.9399999999999999E-3</v>
      </c>
      <c r="H46" s="82">
        <f>+IF('Att A pg 3-5'!$G$92&gt;='Att A pg 3-5'!A46,(+D46+E46+F46+G46)," ")</f>
        <v>4.7128349999999937E-2</v>
      </c>
      <c r="I46" s="82">
        <f>+IF('Att A pg 3-5'!$G$92&gt;='Att A pg 3-5'!A46,(1/((1+'Att A pg 3-5'!$G$84)^'Att A pg 3-5'!B46))," ")</f>
        <v>8.6598213704426177E-2</v>
      </c>
      <c r="J46" s="82">
        <f>+IF('Att A pg 3-5'!$G$92&gt;='Att A pg 3-5'!A46,'Att A pg 3-5'!H46*'Att A pg 3-5'!I46," ")</f>
        <v>4.0812309248369882E-3</v>
      </c>
      <c r="K46" s="82">
        <f>+IF('Att A pg 3-5'!$G$92&gt;='Att A pg 3-5'!A46,'Att A pg 3-5'!K45+'Att A pg 3-5'!J46," ")</f>
        <v>1.2222977443950855</v>
      </c>
      <c r="L46" s="82">
        <f>+IF('Att A pg 3-5'!$G$92&gt;='Att A pg 3-5'!A46,'Att A pg 3-5'!K46*'Att A pg 3-5'!$G$84*(1+'Att A pg 3-5'!$G$84)^'Att A pg 3-5'!B46/((1+'Att A pg 3-5'!$G$84)^'Att A pg 3-5'!B46-1)," ")</f>
        <v>9.4100951712008843E-2</v>
      </c>
      <c r="M46" s="82"/>
      <c r="N46" s="82">
        <v>0</v>
      </c>
      <c r="O46" s="82">
        <f>+IF('Att A pg 3-5'!$G$92&gt;='Att A pg 3-5'!A46,(('Att A pg 3-5'!N46-'Att A pg 3-5'!E46)*('Att A pg 3-5'!$G$89))," ")</f>
        <v>-5.2500000000000003E-3</v>
      </c>
      <c r="P46" s="89">
        <f>IF(+'Att A pg 3-5'!$G$92&gt;='Att A pg 3-5'!A46,+'Att A pg 3-5'!O46+P45,"")</f>
        <v>2.0999999999999928E-2</v>
      </c>
      <c r="Q46" s="82"/>
      <c r="R46" s="82"/>
      <c r="S46" s="81"/>
      <c r="T46" s="84"/>
      <c r="V46" s="81"/>
      <c r="W46" s="86"/>
      <c r="X46" s="85"/>
      <c r="Y46" s="81"/>
      <c r="AA46" s="81"/>
      <c r="AB46" s="81"/>
    </row>
    <row r="47" spans="1:28" x14ac:dyDescent="0.2">
      <c r="A47" s="78">
        <v>37</v>
      </c>
      <c r="B47" s="69">
        <f>IF('Att A pg 3-5'!$G$92&gt;=A47,A47," ")</f>
        <v>37</v>
      </c>
      <c r="C47" s="88">
        <f>+IF('Att A pg 3-5'!$G$92&gt;='Att A pg 3-5'!A47,('Att A pg 3-5'!C46-'Att A pg 3-5'!E46-'Att A pg 3-5'!O46)," ")</f>
        <v>7.8999999999999237E-2</v>
      </c>
      <c r="D47" s="82">
        <f>+IF('Att A pg 3-5'!$G$92&gt;='Att A pg 3-5'!A47,'Att A pg 3-5'!$G$85*C47," ")</f>
        <v>6.5506799999999364E-3</v>
      </c>
      <c r="E47" s="82">
        <f>+IF('Att A pg 3-5'!$G$92&gt;='Att A pg 3-5'!A47, ((100/'Att A pg 3-5'!$G$92)/100),"")</f>
        <v>2.5000000000000001E-2</v>
      </c>
      <c r="F47" s="81">
        <v>0.01</v>
      </c>
      <c r="G47" s="82">
        <f>+IF('Att A pg 3-5'!$G$92&gt;='Att A pg 3-5'!A47,'Att A pg 3-5'!$G$94," ")</f>
        <v>3.9399999999999999E-3</v>
      </c>
      <c r="H47" s="82">
        <f>+IF('Att A pg 3-5'!$G$92&gt;='Att A pg 3-5'!A47,(+D47+E47+F47+G47)," ")</f>
        <v>4.5490679999999936E-2</v>
      </c>
      <c r="I47" s="82">
        <f>+IF('Att A pg 3-5'!$G$92&gt;='Att A pg 3-5'!A47,(1/((1+'Att A pg 3-5'!$G$84)^'Att A pg 3-5'!B47))," ")</f>
        <v>8.0908713005854491E-2</v>
      </c>
      <c r="J47" s="82">
        <f>+IF('Att A pg 3-5'!$G$92&gt;='Att A pg 3-5'!A47,'Att A pg 3-5'!H47*'Att A pg 3-5'!I47," ")</f>
        <v>3.6805923725611598E-3</v>
      </c>
      <c r="K47" s="82">
        <f>+IF('Att A pg 3-5'!$G$92&gt;='Att A pg 3-5'!A47,'Att A pg 3-5'!K46+'Att A pg 3-5'!J47," ")</f>
        <v>1.2259783367676467</v>
      </c>
      <c r="L47" s="82">
        <f>+IF('Att A pg 3-5'!$G$92&gt;='Att A pg 3-5'!A47,'Att A pg 3-5'!K47*'Att A pg 3-5'!$G$84*(1+'Att A pg 3-5'!$G$84)^'Att A pg 3-5'!B47/((1+'Att A pg 3-5'!$G$84)^'Att A pg 3-5'!B47-1)," ")</f>
        <v>9.3800036907596154E-2</v>
      </c>
      <c r="M47" s="82"/>
      <c r="N47" s="82">
        <v>0</v>
      </c>
      <c r="O47" s="82">
        <f>+IF('Att A pg 3-5'!$G$92&gt;='Att A pg 3-5'!A47,(('Att A pg 3-5'!N47-'Att A pg 3-5'!E47)*('Att A pg 3-5'!$G$89))," ")</f>
        <v>-5.2500000000000003E-3</v>
      </c>
      <c r="P47" s="89">
        <f>IF(+'Att A pg 3-5'!$G$92&gt;='Att A pg 3-5'!A47,+'Att A pg 3-5'!O47+P46,"")</f>
        <v>1.5749999999999927E-2</v>
      </c>
      <c r="Q47" s="82"/>
      <c r="R47" s="82"/>
      <c r="S47" s="81"/>
      <c r="T47" s="84"/>
      <c r="V47" s="81"/>
      <c r="W47" s="86"/>
      <c r="X47" s="85"/>
      <c r="Y47" s="81"/>
      <c r="AA47" s="81"/>
      <c r="AB47" s="81"/>
    </row>
    <row r="48" spans="1:28" x14ac:dyDescent="0.2">
      <c r="A48" s="78">
        <v>38</v>
      </c>
      <c r="B48" s="69">
        <f>IF('Att A pg 3-5'!$G$92&gt;=A48,A48," ")</f>
        <v>38</v>
      </c>
      <c r="C48" s="88">
        <f>+IF('Att A pg 3-5'!$G$92&gt;='Att A pg 3-5'!A48,('Att A pg 3-5'!C47-'Att A pg 3-5'!E47-'Att A pg 3-5'!O47)," ")</f>
        <v>5.9249999999999234E-2</v>
      </c>
      <c r="D48" s="82">
        <f>+IF('Att A pg 3-5'!$G$92&gt;='Att A pg 3-5'!A48,'Att A pg 3-5'!$G$85*C48," ")</f>
        <v>4.9130099999999365E-3</v>
      </c>
      <c r="E48" s="82">
        <f>+IF('Att A pg 3-5'!$G$92&gt;='Att A pg 3-5'!A48, ((100/'Att A pg 3-5'!$G$92)/100),"")</f>
        <v>2.5000000000000001E-2</v>
      </c>
      <c r="F48" s="81">
        <v>0.01</v>
      </c>
      <c r="G48" s="82">
        <f>+IF('Att A pg 3-5'!$G$92&gt;='Att A pg 3-5'!A48,'Att A pg 3-5'!$G$94," ")</f>
        <v>3.9399999999999999E-3</v>
      </c>
      <c r="H48" s="82">
        <f>+IF('Att A pg 3-5'!$G$92&gt;='Att A pg 3-5'!A48,(+D48+E48+F48+G48)," ")</f>
        <v>4.3853009999999935E-2</v>
      </c>
      <c r="I48" s="82">
        <f>+IF('Att A pg 3-5'!$G$92&gt;='Att A pg 3-5'!A48,(1/((1+'Att A pg 3-5'!$G$84)^'Att A pg 3-5'!B48))," ")</f>
        <v>7.5593012375602162E-2</v>
      </c>
      <c r="J48" s="82">
        <f>+IF('Att A pg 3-5'!$G$92&gt;='Att A pg 3-5'!A48,'Att A pg 3-5'!H48*'Att A pg 3-5'!I48," ")</f>
        <v>3.3149811276374005E-3</v>
      </c>
      <c r="K48" s="82">
        <f>+IF('Att A pg 3-5'!$G$92&gt;='Att A pg 3-5'!A48,'Att A pg 3-5'!K47+'Att A pg 3-5'!J48," ")</f>
        <v>1.2292933178952841</v>
      </c>
      <c r="L48" s="82">
        <f>+IF('Att A pg 3-5'!$G$92&gt;='Att A pg 3-5'!A48,'Att A pg 3-5'!K48*'Att A pg 3-5'!$G$84*(1+'Att A pg 3-5'!$G$84)^'Att A pg 3-5'!B48/((1+'Att A pg 3-5'!$G$84)^'Att A pg 3-5'!B48-1)," ")</f>
        <v>9.3512822027174008E-2</v>
      </c>
      <c r="M48" s="82"/>
      <c r="N48" s="82">
        <v>0</v>
      </c>
      <c r="O48" s="82">
        <f>+IF('Att A pg 3-5'!$G$92&gt;='Att A pg 3-5'!A48,(('Att A pg 3-5'!N48-'Att A pg 3-5'!E48)*('Att A pg 3-5'!$G$89))," ")</f>
        <v>-5.2500000000000003E-3</v>
      </c>
      <c r="P48" s="89">
        <f>IF(+'Att A pg 3-5'!$G$92&gt;='Att A pg 3-5'!A48,+'Att A pg 3-5'!O48+P47,"")</f>
        <v>1.0499999999999926E-2</v>
      </c>
      <c r="Q48" s="82"/>
      <c r="R48" s="82"/>
      <c r="S48" s="81"/>
      <c r="T48" s="84"/>
      <c r="V48" s="81"/>
      <c r="W48" s="86"/>
      <c r="X48" s="85"/>
      <c r="Y48" s="81"/>
      <c r="AA48" s="81"/>
      <c r="AB48" s="81"/>
    </row>
    <row r="49" spans="1:28" x14ac:dyDescent="0.2">
      <c r="A49" s="78">
        <v>39</v>
      </c>
      <c r="B49" s="69">
        <f>IF('Att A pg 3-5'!$G$92&gt;=A49,A49," ")</f>
        <v>39</v>
      </c>
      <c r="C49" s="88">
        <f>+IF('Att A pg 3-5'!$G$92&gt;='Att A pg 3-5'!A49,('Att A pg 3-5'!C48-'Att A pg 3-5'!E48-'Att A pg 3-5'!O48)," ")</f>
        <v>3.949999999999923E-2</v>
      </c>
      <c r="D49" s="82">
        <f>+IF('Att A pg 3-5'!$G$92&gt;='Att A pg 3-5'!A49,'Att A pg 3-5'!$G$85*C49," ")</f>
        <v>3.2753399999999361E-3</v>
      </c>
      <c r="E49" s="82">
        <f>+IF('Att A pg 3-5'!$G$92&gt;='Att A pg 3-5'!A49, ((100/'Att A pg 3-5'!$G$92)/100),"")</f>
        <v>2.5000000000000001E-2</v>
      </c>
      <c r="F49" s="81">
        <v>0.01</v>
      </c>
      <c r="G49" s="82">
        <f>+IF('Att A pg 3-5'!$G$92&gt;='Att A pg 3-5'!A49,'Att A pg 3-5'!$G$94," ")</f>
        <v>3.9399999999999999E-3</v>
      </c>
      <c r="H49" s="82">
        <f>+IF('Att A pg 3-5'!$G$92&gt;='Att A pg 3-5'!A49,(+D49+E49+F49+G49)," ")</f>
        <v>4.2215339999999935E-2</v>
      </c>
      <c r="I49" s="82">
        <f>+IF('Att A pg 3-5'!$G$92&gt;='Att A pg 3-5'!A49,(1/((1+'Att A pg 3-5'!$G$84)^'Att A pg 3-5'!B49))," ")</f>
        <v>7.0626553157562388E-2</v>
      </c>
      <c r="J49" s="82">
        <f>+IF('Att A pg 3-5'!$G$92&gt;='Att A pg 3-5'!A49,'Att A pg 3-5'!H49*'Att A pg 3-5'!I49," ")</f>
        <v>2.981523954574565E-3</v>
      </c>
      <c r="K49" s="82">
        <f>+IF('Att A pg 3-5'!$G$92&gt;='Att A pg 3-5'!A49,'Att A pg 3-5'!K48+'Att A pg 3-5'!J49," ")</f>
        <v>1.2322748418498586</v>
      </c>
      <c r="L49" s="82">
        <f>+IF('Att A pg 3-5'!$G$92&gt;='Att A pg 3-5'!A49,'Att A pg 3-5'!K49*'Att A pg 3-5'!$G$84*(1+'Att A pg 3-5'!$G$84)^'Att A pg 3-5'!B49/((1+'Att A pg 3-5'!$G$84)^'Att A pg 3-5'!B49-1)," ")</f>
        <v>9.3238694491745003E-2</v>
      </c>
      <c r="M49" s="82"/>
      <c r="N49" s="82">
        <v>0</v>
      </c>
      <c r="O49" s="82">
        <f>+IF('Att A pg 3-5'!$G$92&gt;='Att A pg 3-5'!A49,(('Att A pg 3-5'!N49-'Att A pg 3-5'!E49)*('Att A pg 3-5'!$G$89))," ")</f>
        <v>-5.2500000000000003E-3</v>
      </c>
      <c r="P49" s="89">
        <f>IF(+'Att A pg 3-5'!$G$92&gt;='Att A pg 3-5'!A49,+'Att A pg 3-5'!O49+P48,"")</f>
        <v>5.2499999999999257E-3</v>
      </c>
      <c r="Q49" s="82"/>
      <c r="R49" s="82"/>
      <c r="S49" s="81"/>
      <c r="T49" s="84"/>
      <c r="V49" s="81"/>
      <c r="W49" s="86"/>
      <c r="X49" s="85"/>
      <c r="Y49" s="81"/>
      <c r="AA49" s="81"/>
      <c r="AB49" s="81"/>
    </row>
    <row r="50" spans="1:28" x14ac:dyDescent="0.2">
      <c r="A50" s="78">
        <v>40</v>
      </c>
      <c r="B50" s="69">
        <f>IF('Att A pg 3-5'!$G$92&gt;=A50,A50," ")</f>
        <v>40</v>
      </c>
      <c r="C50" s="88">
        <f>+IF('Att A pg 3-5'!$G$92&gt;='Att A pg 3-5'!A50,('Att A pg 3-5'!C49-'Att A pg 3-5'!E49-'Att A pg 3-5'!O49)," ")</f>
        <v>1.974999999999923E-2</v>
      </c>
      <c r="D50" s="82">
        <f>+IF('Att A pg 3-5'!$G$92&gt;='Att A pg 3-5'!A50,'Att A pg 3-5'!$G$85*C50," ")</f>
        <v>1.637669999999936E-3</v>
      </c>
      <c r="E50" s="82">
        <f>+IF('Att A pg 3-5'!$G$92&gt;='Att A pg 3-5'!A50, ((100/'Att A pg 3-5'!$G$92)/100),"")</f>
        <v>2.5000000000000001E-2</v>
      </c>
      <c r="F50" s="81">
        <v>0.01</v>
      </c>
      <c r="G50" s="82">
        <f>+IF('Att A pg 3-5'!$G$92&gt;='Att A pg 3-5'!A50,'Att A pg 3-5'!$G$94," ")</f>
        <v>3.9399999999999999E-3</v>
      </c>
      <c r="H50" s="82">
        <f>+IF('Att A pg 3-5'!$G$92&gt;='Att A pg 3-5'!A50,(+D50+E50+F50+G50)," ")</f>
        <v>4.0577669999999934E-2</v>
      </c>
      <c r="I50" s="82">
        <f>+IF('Att A pg 3-5'!$G$92&gt;='Att A pg 3-5'!A50,(1/((1+'Att A pg 3-5'!$G$84)^'Att A pg 3-5'!B50))," ")</f>
        <v>6.5986390198783926E-2</v>
      </c>
      <c r="J50" s="82">
        <f>+IF('Att A pg 3-5'!$G$92&gt;='Att A pg 3-5'!A50,'Att A pg 3-5'!H50*'Att A pg 3-5'!I50," ")</f>
        <v>2.6775739659774841E-3</v>
      </c>
      <c r="K50" s="82">
        <f>+IF('Att A pg 3-5'!$G$92&gt;='Att A pg 3-5'!A50,'Att A pg 3-5'!K49+'Att A pg 3-5'!J50," ")</f>
        <v>1.234952415815836</v>
      </c>
      <c r="L50" s="82">
        <f>+IF('Att A pg 3-5'!$G$92&gt;='Att A pg 3-5'!A50,'Att A pg 3-5'!K50*'Att A pg 3-5'!$G$84*(1+'Att A pg 3-5'!$G$84)^'Att A pg 3-5'!B50/((1+'Att A pg 3-5'!$G$84)^'Att A pg 3-5'!B50-1)," ")</f>
        <v>9.297707546108662E-2</v>
      </c>
      <c r="M50" s="82"/>
      <c r="N50" s="82">
        <v>0</v>
      </c>
      <c r="O50" s="82">
        <f>+IF('Att A pg 3-5'!$G$92&gt;='Att A pg 3-5'!A50,(('Att A pg 3-5'!N50-'Att A pg 3-5'!E50)*('Att A pg 3-5'!$G$89))," ")</f>
        <v>-5.2500000000000003E-3</v>
      </c>
      <c r="P50" s="89">
        <f>IF(+'Att A pg 3-5'!$G$92&gt;='Att A pg 3-5'!A50,+'Att A pg 3-5'!O50+P49,"")</f>
        <v>-7.4593109467002705E-17</v>
      </c>
      <c r="Q50" s="82"/>
      <c r="R50" s="82"/>
      <c r="S50" s="81"/>
      <c r="T50" s="84"/>
      <c r="V50" s="81"/>
      <c r="W50" s="86"/>
      <c r="X50" s="85"/>
      <c r="Y50" s="81"/>
      <c r="AA50" s="81"/>
      <c r="AB50" s="81"/>
    </row>
    <row r="51" spans="1:28" hidden="1" x14ac:dyDescent="0.2">
      <c r="A51" s="78">
        <v>41</v>
      </c>
      <c r="B51" s="90" t="str">
        <f>IF('Att A pg 3-5'!$G$92&gt;=A51,A51," ")</f>
        <v xml:space="preserve"> </v>
      </c>
      <c r="C51" s="88" t="str">
        <f>+IF('Att A pg 3-5'!$G$92&gt;='Att A pg 3-5'!A51,('Att A pg 3-5'!C50-'Att A pg 3-5'!E50-'Att A pg 3-5'!O50)," ")</f>
        <v xml:space="preserve"> </v>
      </c>
      <c r="D51" s="82" t="str">
        <f>+IF('Att A pg 3-5'!$G$92&gt;='Att A pg 3-5'!A51,'Att A pg 3-5'!$G$85*C51," ")</f>
        <v xml:space="preserve"> </v>
      </c>
      <c r="E51" s="82" t="str">
        <f>+IF('Att A pg 3-5'!$G$92&gt;='Att A pg 3-5'!A51, ((100/'Att A pg 3-5'!$G$92)/100),"")</f>
        <v/>
      </c>
      <c r="F51" s="81">
        <v>0</v>
      </c>
      <c r="G51" s="82" t="str">
        <f>+IF('Att A pg 3-5'!$G$92&gt;='Att A pg 3-5'!A51,'Att A pg 3-5'!$G$94," ")</f>
        <v xml:space="preserve"> </v>
      </c>
      <c r="H51" s="82" t="str">
        <f>+IF('Att A pg 3-5'!$G$92&gt;='Att A pg 3-5'!A51,(+D51+E51+F51+G51)," ")</f>
        <v xml:space="preserve"> </v>
      </c>
      <c r="I51" s="82" t="str">
        <f>+IF('Att A pg 3-5'!$G$92&gt;='Att A pg 3-5'!A51,(1/((1+'Att A pg 3-5'!$G$84)^'Att A pg 3-5'!B51))," ")</f>
        <v xml:space="preserve"> </v>
      </c>
      <c r="J51" s="91" t="str">
        <f>+IF('Att A pg 3-5'!$G$92&gt;='Att A pg 3-5'!A51,'Att A pg 3-5'!H51*'Att A pg 3-5'!I51," ")</f>
        <v xml:space="preserve"> </v>
      </c>
      <c r="K51" s="91" t="str">
        <f>+IF('Att A pg 3-5'!$G$92&gt;='Att A pg 3-5'!A51,'Att A pg 3-5'!K50+'Att A pg 3-5'!J51," ")</f>
        <v xml:space="preserve"> </v>
      </c>
      <c r="L51" s="91" t="str">
        <f>+IF('Att A pg 3-5'!$G$92&gt;='Att A pg 3-5'!A51,'Att A pg 3-5'!K51*'Att A pg 3-5'!$G$84*(1+'Att A pg 3-5'!$G$84)^'Att A pg 3-5'!B51/((1+'Att A pg 3-5'!$G$84)^'Att A pg 3-5'!B51-1)," ")</f>
        <v xml:space="preserve"> </v>
      </c>
      <c r="M51" s="82"/>
      <c r="N51" s="82" t="s">
        <v>135</v>
      </c>
      <c r="O51" s="82" t="str">
        <f>+IF('Att A pg 3-5'!$G$92&gt;='Att A pg 3-5'!A51,(('Att A pg 3-5'!N51-'Att A pg 3-5'!E51)*('Att A pg 3-5'!$G$89))," ")</f>
        <v xml:space="preserve"> </v>
      </c>
      <c r="P51" s="89" t="str">
        <f>IF(+'Att A pg 3-5'!$G$92&gt;='Att A pg 3-5'!A51,+'Att A pg 3-5'!O51+P50,"")</f>
        <v/>
      </c>
      <c r="Q51" s="82"/>
      <c r="R51" s="82"/>
      <c r="S51" s="81"/>
      <c r="T51" s="84"/>
      <c r="V51" s="81"/>
      <c r="W51" s="86"/>
      <c r="X51" s="85"/>
      <c r="Y51" s="81"/>
      <c r="AA51" s="81"/>
      <c r="AB51" s="81"/>
    </row>
    <row r="52" spans="1:28" hidden="1" x14ac:dyDescent="0.2">
      <c r="A52" s="78">
        <v>42</v>
      </c>
      <c r="B52" s="69" t="str">
        <f>IF('Att A pg 3-5'!$G$92&gt;=A52,A52," ")</f>
        <v xml:space="preserve"> </v>
      </c>
      <c r="C52" s="88" t="str">
        <f>+IF('Att A pg 3-5'!$G$92&gt;='Att A pg 3-5'!A52,('Att A pg 3-5'!C51-'Att A pg 3-5'!E51-'Att A pg 3-5'!O51)," ")</f>
        <v xml:space="preserve"> </v>
      </c>
      <c r="D52" s="82" t="str">
        <f>+IF('Att A pg 3-5'!$G$92&gt;='Att A pg 3-5'!A52,'Att A pg 3-5'!$G$85*C52," ")</f>
        <v xml:space="preserve"> </v>
      </c>
      <c r="E52" s="82" t="str">
        <f>+IF('Att A pg 3-5'!$G$92&gt;='Att A pg 3-5'!A52, ((100/'Att A pg 3-5'!$G$92)/100),"")</f>
        <v/>
      </c>
      <c r="F52" s="81">
        <v>0</v>
      </c>
      <c r="G52" s="82" t="str">
        <f>+IF('Att A pg 3-5'!$G$92&gt;='Att A pg 3-5'!A52,'Att A pg 3-5'!$G$94," ")</f>
        <v xml:space="preserve"> </v>
      </c>
      <c r="H52" s="82" t="str">
        <f>+IF('Att A pg 3-5'!$G$92&gt;='Att A pg 3-5'!A52,(+D52+E52+F52+G52)," ")</f>
        <v xml:space="preserve"> </v>
      </c>
      <c r="I52" s="82" t="str">
        <f>+IF('Att A pg 3-5'!$G$92&gt;='Att A pg 3-5'!A52,(1/((1+'Att A pg 3-5'!$G$84)^'Att A pg 3-5'!B52))," ")</f>
        <v xml:space="preserve"> </v>
      </c>
      <c r="J52" s="82" t="str">
        <f>+IF('Att A pg 3-5'!$G$92&gt;='Att A pg 3-5'!A52,'Att A pg 3-5'!H52*'Att A pg 3-5'!I52," ")</f>
        <v xml:space="preserve"> </v>
      </c>
      <c r="K52" s="82" t="str">
        <f>+IF('Att A pg 3-5'!$G$92&gt;='Att A pg 3-5'!A52,'Att A pg 3-5'!K51+'Att A pg 3-5'!J52," ")</f>
        <v xml:space="preserve"> </v>
      </c>
      <c r="L52" s="82" t="str">
        <f>+IF('Att A pg 3-5'!$G$92&gt;='Att A pg 3-5'!A52,'Att A pg 3-5'!K52*'Att A pg 3-5'!$G$84*(1+'Att A pg 3-5'!$G$84)^'Att A pg 3-5'!B52/((1+'Att A pg 3-5'!$G$84)^'Att A pg 3-5'!B52-1)," ")</f>
        <v xml:space="preserve"> </v>
      </c>
      <c r="M52" s="82"/>
      <c r="N52" s="82" t="s">
        <v>135</v>
      </c>
      <c r="O52" s="82" t="str">
        <f>+IF('Att A pg 3-5'!$G$92&gt;='Att A pg 3-5'!A52,(('Att A pg 3-5'!N52-'Att A pg 3-5'!E52)*('Att A pg 3-5'!$G$89))," ")</f>
        <v xml:space="preserve"> </v>
      </c>
      <c r="P52" s="89" t="str">
        <f>IF(+'Att A pg 3-5'!$G$92&gt;='Att A pg 3-5'!A52,+'Att A pg 3-5'!O52+P51,"")</f>
        <v/>
      </c>
      <c r="Q52" s="82"/>
      <c r="R52" s="82"/>
      <c r="S52" s="81"/>
      <c r="T52" s="84"/>
      <c r="V52" s="81"/>
      <c r="W52" s="86"/>
      <c r="X52" s="85"/>
      <c r="Y52" s="81"/>
      <c r="AA52" s="81"/>
      <c r="AB52" s="81"/>
    </row>
    <row r="53" spans="1:28" hidden="1" x14ac:dyDescent="0.2">
      <c r="A53" s="78">
        <v>43</v>
      </c>
      <c r="B53" s="69" t="str">
        <f>IF('Att A pg 3-5'!$G$92&gt;=A53,A53," ")</f>
        <v xml:space="preserve"> </v>
      </c>
      <c r="C53" s="88" t="str">
        <f>+IF('Att A pg 3-5'!$G$92&gt;='Att A pg 3-5'!A53,('Att A pg 3-5'!C52-'Att A pg 3-5'!E52-'Att A pg 3-5'!O52)," ")</f>
        <v xml:space="preserve"> </v>
      </c>
      <c r="D53" s="82" t="str">
        <f>+IF('Att A pg 3-5'!$G$92&gt;='Att A pg 3-5'!A53,'Att A pg 3-5'!$G$85*C53," ")</f>
        <v xml:space="preserve"> </v>
      </c>
      <c r="E53" s="82" t="str">
        <f>+IF('Att A pg 3-5'!$G$92&gt;='Att A pg 3-5'!A53, ((100/'Att A pg 3-5'!$G$92)/100),"")</f>
        <v/>
      </c>
      <c r="F53" s="81">
        <v>0</v>
      </c>
      <c r="G53" s="82" t="str">
        <f>+IF('Att A pg 3-5'!$G$92&gt;='Att A pg 3-5'!A53,'Att A pg 3-5'!$G$94," ")</f>
        <v xml:space="preserve"> </v>
      </c>
      <c r="H53" s="82" t="str">
        <f>+IF('Att A pg 3-5'!$G$92&gt;='Att A pg 3-5'!A53,(+D53+E53+F53+G53)," ")</f>
        <v xml:space="preserve"> </v>
      </c>
      <c r="I53" s="82" t="str">
        <f>+IF('Att A pg 3-5'!$G$92&gt;='Att A pg 3-5'!A53,(1/((1+'Att A pg 3-5'!$G$84)^'Att A pg 3-5'!B53))," ")</f>
        <v xml:space="preserve"> </v>
      </c>
      <c r="J53" s="82" t="str">
        <f>+IF('Att A pg 3-5'!$G$92&gt;='Att A pg 3-5'!A53,'Att A pg 3-5'!H53*'Att A pg 3-5'!I53," ")</f>
        <v xml:space="preserve"> </v>
      </c>
      <c r="K53" s="82" t="str">
        <f>+IF('Att A pg 3-5'!$G$92&gt;='Att A pg 3-5'!A53,'Att A pg 3-5'!K52+'Att A pg 3-5'!J53," ")</f>
        <v xml:space="preserve"> </v>
      </c>
      <c r="L53" s="82" t="str">
        <f>+IF('Att A pg 3-5'!$G$92&gt;='Att A pg 3-5'!A53,'Att A pg 3-5'!K53*'Att A pg 3-5'!$G$84*(1+'Att A pg 3-5'!$G$84)^'Att A pg 3-5'!B53/((1+'Att A pg 3-5'!$G$84)^'Att A pg 3-5'!B53-1)," ")</f>
        <v xml:space="preserve"> </v>
      </c>
      <c r="M53" s="82"/>
      <c r="N53" s="82" t="s">
        <v>135</v>
      </c>
      <c r="O53" s="82" t="str">
        <f>+IF('Att A pg 3-5'!$G$92&gt;='Att A pg 3-5'!A53,(('Att A pg 3-5'!N53-'Att A pg 3-5'!E53)*('Att A pg 3-5'!$G$89))," ")</f>
        <v xml:space="preserve"> </v>
      </c>
      <c r="P53" s="89" t="str">
        <f>IF(+'Att A pg 3-5'!$G$92&gt;='Att A pg 3-5'!A53,+'Att A pg 3-5'!O53+P52,"")</f>
        <v/>
      </c>
      <c r="Q53" s="82"/>
      <c r="R53" s="82"/>
      <c r="S53" s="81"/>
      <c r="T53" s="84"/>
      <c r="V53" s="81"/>
      <c r="W53" s="86"/>
      <c r="X53" s="85"/>
      <c r="Y53" s="81"/>
      <c r="AA53" s="81"/>
      <c r="AB53" s="81"/>
    </row>
    <row r="54" spans="1:28" hidden="1" x14ac:dyDescent="0.2">
      <c r="A54" s="78">
        <v>44</v>
      </c>
      <c r="B54" s="69" t="str">
        <f>IF('Att A pg 3-5'!$G$92&gt;=A54,A54," ")</f>
        <v xml:space="preserve"> </v>
      </c>
      <c r="C54" s="88" t="str">
        <f>+IF('Att A pg 3-5'!$G$92&gt;='Att A pg 3-5'!A54,('Att A pg 3-5'!C53-'Att A pg 3-5'!E53-'Att A pg 3-5'!O53)," ")</f>
        <v xml:space="preserve"> </v>
      </c>
      <c r="D54" s="82" t="str">
        <f>+IF('Att A pg 3-5'!$G$92&gt;='Att A pg 3-5'!A54,'Att A pg 3-5'!$G$85*C54," ")</f>
        <v xml:space="preserve"> </v>
      </c>
      <c r="E54" s="82" t="str">
        <f>+IF('Att A pg 3-5'!$G$92&gt;='Att A pg 3-5'!A54, ((100/'Att A pg 3-5'!$G$92)/100),"")</f>
        <v/>
      </c>
      <c r="F54" s="81">
        <v>0</v>
      </c>
      <c r="G54" s="82" t="str">
        <f>+IF('Att A pg 3-5'!$G$92&gt;='Att A pg 3-5'!A54,'Att A pg 3-5'!$G$94," ")</f>
        <v xml:space="preserve"> </v>
      </c>
      <c r="H54" s="82" t="str">
        <f>+IF('Att A pg 3-5'!$G$92&gt;='Att A pg 3-5'!A54,(+D54+E54+F54+G54)," ")</f>
        <v xml:space="preserve"> </v>
      </c>
      <c r="I54" s="82" t="str">
        <f>+IF('Att A pg 3-5'!$G$92&gt;='Att A pg 3-5'!A54,(1/((1+'Att A pg 3-5'!$G$84)^'Att A pg 3-5'!B54))," ")</f>
        <v xml:space="preserve"> </v>
      </c>
      <c r="J54" s="82" t="str">
        <f>+IF('Att A pg 3-5'!$G$92&gt;='Att A pg 3-5'!A54,'Att A pg 3-5'!H54*'Att A pg 3-5'!I54," ")</f>
        <v xml:space="preserve"> </v>
      </c>
      <c r="K54" s="82" t="str">
        <f>+IF('Att A pg 3-5'!$G$92&gt;='Att A pg 3-5'!A54,'Att A pg 3-5'!K53+'Att A pg 3-5'!J54," ")</f>
        <v xml:space="preserve"> </v>
      </c>
      <c r="L54" s="82" t="str">
        <f>+IF('Att A pg 3-5'!$G$92&gt;='Att A pg 3-5'!A54,'Att A pg 3-5'!K54*'Att A pg 3-5'!$G$84*(1+'Att A pg 3-5'!$G$84)^'Att A pg 3-5'!B54/((1+'Att A pg 3-5'!$G$84)^'Att A pg 3-5'!B54-1)," ")</f>
        <v xml:space="preserve"> </v>
      </c>
      <c r="M54" s="82"/>
      <c r="N54" s="82" t="s">
        <v>135</v>
      </c>
      <c r="O54" s="82" t="str">
        <f>+IF('Att A pg 3-5'!$G$92&gt;='Att A pg 3-5'!A54,(('Att A pg 3-5'!N54-'Att A pg 3-5'!E54)*('Att A pg 3-5'!$G$89))," ")</f>
        <v xml:space="preserve"> </v>
      </c>
      <c r="P54" s="89" t="str">
        <f>IF(+'Att A pg 3-5'!$G$92&gt;='Att A pg 3-5'!A54,+'Att A pg 3-5'!O54+P53,"")</f>
        <v/>
      </c>
      <c r="Q54" s="82"/>
      <c r="R54" s="82"/>
      <c r="S54" s="81"/>
      <c r="T54" s="84"/>
      <c r="V54" s="81"/>
      <c r="W54" s="92"/>
      <c r="X54" s="81"/>
      <c r="Y54" s="81"/>
      <c r="AA54" s="81"/>
      <c r="AB54" s="81"/>
    </row>
    <row r="55" spans="1:28" hidden="1" x14ac:dyDescent="0.2">
      <c r="A55" s="78">
        <v>45</v>
      </c>
      <c r="B55" s="69" t="str">
        <f>IF('Att A pg 3-5'!$G$92&gt;=A55,A55," ")</f>
        <v xml:space="preserve"> </v>
      </c>
      <c r="C55" s="88" t="str">
        <f>+IF('Att A pg 3-5'!$G$92&gt;='Att A pg 3-5'!A55,('Att A pg 3-5'!C54-'Att A pg 3-5'!E54-'Att A pg 3-5'!O54)," ")</f>
        <v xml:space="preserve"> </v>
      </c>
      <c r="D55" s="82" t="str">
        <f>+IF('Att A pg 3-5'!$G$92&gt;='Att A pg 3-5'!A55,'Att A pg 3-5'!$G$85*C55," ")</f>
        <v xml:space="preserve"> </v>
      </c>
      <c r="E55" s="82" t="str">
        <f>+IF('Att A pg 3-5'!$G$92&gt;='Att A pg 3-5'!A55, ((100/'Att A pg 3-5'!$G$92)/100),"")</f>
        <v/>
      </c>
      <c r="F55" s="81">
        <v>0</v>
      </c>
      <c r="G55" s="82" t="str">
        <f>+IF('Att A pg 3-5'!$G$92&gt;='Att A pg 3-5'!A55,'Att A pg 3-5'!$G$94," ")</f>
        <v xml:space="preserve"> </v>
      </c>
      <c r="H55" s="82" t="str">
        <f>+IF('Att A pg 3-5'!$G$92&gt;='Att A pg 3-5'!A55,(+D55+E55+F55+G55)," ")</f>
        <v xml:space="preserve"> </v>
      </c>
      <c r="I55" s="82" t="str">
        <f>+IF('Att A pg 3-5'!$G$92&gt;='Att A pg 3-5'!A55,(1/((1+'Att A pg 3-5'!$G$84)^'Att A pg 3-5'!B55))," ")</f>
        <v xml:space="preserve"> </v>
      </c>
      <c r="J55" s="82" t="str">
        <f>+IF('Att A pg 3-5'!$G$92&gt;='Att A pg 3-5'!A55,'Att A pg 3-5'!H55*'Att A pg 3-5'!I55," ")</f>
        <v xml:space="preserve"> </v>
      </c>
      <c r="K55" s="82" t="str">
        <f>+IF('Att A pg 3-5'!$G$92&gt;='Att A pg 3-5'!A55,'Att A pg 3-5'!K54+'Att A pg 3-5'!J55," ")</f>
        <v xml:space="preserve"> </v>
      </c>
      <c r="L55" s="82" t="str">
        <f>+IF('Att A pg 3-5'!$G$92&gt;='Att A pg 3-5'!A55,'Att A pg 3-5'!K55*'Att A pg 3-5'!$G$84*(1+'Att A pg 3-5'!$G$84)^'Att A pg 3-5'!B55/((1+'Att A pg 3-5'!$G$84)^'Att A pg 3-5'!B55-1)," ")</f>
        <v xml:space="preserve"> </v>
      </c>
      <c r="M55" s="82"/>
      <c r="N55" s="82" t="s">
        <v>135</v>
      </c>
      <c r="O55" s="82" t="str">
        <f>+IF('Att A pg 3-5'!$G$92&gt;='Att A pg 3-5'!A55,(('Att A pg 3-5'!N55-'Att A pg 3-5'!E55)*('Att A pg 3-5'!$G$89))," ")</f>
        <v xml:space="preserve"> </v>
      </c>
      <c r="P55" s="89" t="str">
        <f>IF(+'Att A pg 3-5'!$G$92&gt;='Att A pg 3-5'!A55,+'Att A pg 3-5'!O55+P54,"")</f>
        <v/>
      </c>
      <c r="Q55" s="82"/>
      <c r="R55" s="82"/>
      <c r="S55" s="81"/>
      <c r="T55" s="84"/>
      <c r="V55" s="81"/>
      <c r="W55" s="92"/>
      <c r="X55" s="81"/>
      <c r="Y55" s="81"/>
      <c r="AA55" s="81"/>
      <c r="AB55" s="81"/>
    </row>
    <row r="56" spans="1:28" hidden="1" x14ac:dyDescent="0.2">
      <c r="A56" s="78">
        <v>46</v>
      </c>
      <c r="B56" s="69" t="str">
        <f>IF('Att A pg 3-5'!$G$92&gt;=A56,A56," ")</f>
        <v xml:space="preserve"> </v>
      </c>
      <c r="C56" s="88" t="str">
        <f>+IF('Att A pg 3-5'!$G$92&gt;='Att A pg 3-5'!A56,('Att A pg 3-5'!C55-'Att A pg 3-5'!E55-'Att A pg 3-5'!O55)," ")</f>
        <v xml:space="preserve"> </v>
      </c>
      <c r="D56" s="82" t="str">
        <f>+IF('Att A pg 3-5'!$G$92&gt;='Att A pg 3-5'!A56,'Att A pg 3-5'!$G$85*C56," ")</f>
        <v xml:space="preserve"> </v>
      </c>
      <c r="E56" s="82" t="str">
        <f>+IF('Att A pg 3-5'!$G$92&gt;='Att A pg 3-5'!A56, ((100/'Att A pg 3-5'!$G$92)/100),"")</f>
        <v/>
      </c>
      <c r="F56" s="81">
        <v>0</v>
      </c>
      <c r="G56" s="82" t="str">
        <f>+IF('Att A pg 3-5'!$G$92&gt;='Att A pg 3-5'!A56,'Att A pg 3-5'!$G$94," ")</f>
        <v xml:space="preserve"> </v>
      </c>
      <c r="H56" s="82" t="str">
        <f>+IF('Att A pg 3-5'!$G$92&gt;='Att A pg 3-5'!A56,(+D56+E56+F56+G56)," ")</f>
        <v xml:space="preserve"> </v>
      </c>
      <c r="I56" s="82" t="str">
        <f>+IF('Att A pg 3-5'!$G$92&gt;='Att A pg 3-5'!A56,(1/((1+'Att A pg 3-5'!$G$84)^'Att A pg 3-5'!B56))," ")</f>
        <v xml:space="preserve"> </v>
      </c>
      <c r="J56" s="82" t="str">
        <f>+IF('Att A pg 3-5'!$G$92&gt;='Att A pg 3-5'!A56,'Att A pg 3-5'!H56*'Att A pg 3-5'!I56," ")</f>
        <v xml:space="preserve"> </v>
      </c>
      <c r="K56" s="82" t="str">
        <f>+IF('Att A pg 3-5'!$G$92&gt;='Att A pg 3-5'!A56,'Att A pg 3-5'!K55+'Att A pg 3-5'!J56," ")</f>
        <v xml:space="preserve"> </v>
      </c>
      <c r="L56" s="82" t="str">
        <f>+IF('Att A pg 3-5'!$G$92&gt;='Att A pg 3-5'!A56,'Att A pg 3-5'!K56*'Att A pg 3-5'!$G$84*(1+'Att A pg 3-5'!$G$84)^'Att A pg 3-5'!B56/((1+'Att A pg 3-5'!$G$84)^'Att A pg 3-5'!B56-1)," ")</f>
        <v xml:space="preserve"> </v>
      </c>
      <c r="M56" s="82"/>
      <c r="N56" s="82" t="s">
        <v>135</v>
      </c>
      <c r="O56" s="82" t="str">
        <f>+IF('Att A pg 3-5'!$G$92&gt;='Att A pg 3-5'!A56,(('Att A pg 3-5'!N56-'Att A pg 3-5'!E56)*('Att A pg 3-5'!$G$89))," ")</f>
        <v xml:space="preserve"> </v>
      </c>
      <c r="P56" s="89" t="str">
        <f>IF(+'Att A pg 3-5'!$G$92&gt;='Att A pg 3-5'!A56,+'Att A pg 3-5'!O56+P55,"")</f>
        <v/>
      </c>
      <c r="Q56" s="82"/>
      <c r="R56" s="82"/>
      <c r="S56" s="81"/>
      <c r="T56" s="84"/>
      <c r="V56" s="81"/>
      <c r="W56" s="92"/>
      <c r="X56" s="81"/>
      <c r="Y56" s="81"/>
      <c r="AA56" s="81"/>
      <c r="AB56" s="81"/>
    </row>
    <row r="57" spans="1:28" hidden="1" x14ac:dyDescent="0.2">
      <c r="A57" s="78">
        <v>47</v>
      </c>
      <c r="B57" s="69" t="str">
        <f>IF('Att A pg 3-5'!$G$92&gt;=A57,A57," ")</f>
        <v xml:space="preserve"> </v>
      </c>
      <c r="C57" s="88" t="str">
        <f>+IF('Att A pg 3-5'!$G$92&gt;='Att A pg 3-5'!A57,('Att A pg 3-5'!C56-'Att A pg 3-5'!E56-'Att A pg 3-5'!O56)," ")</f>
        <v xml:space="preserve"> </v>
      </c>
      <c r="D57" s="82" t="str">
        <f>+IF('Att A pg 3-5'!$G$92&gt;='Att A pg 3-5'!A57,'Att A pg 3-5'!$G$85*C57," ")</f>
        <v xml:space="preserve"> </v>
      </c>
      <c r="E57" s="82" t="str">
        <f>+IF('Att A pg 3-5'!$G$92&gt;='Att A pg 3-5'!A57, ((100/'Att A pg 3-5'!$G$92)/100),"")</f>
        <v/>
      </c>
      <c r="F57" s="81">
        <v>0</v>
      </c>
      <c r="G57" s="82" t="str">
        <f>+IF('Att A pg 3-5'!$G$92&gt;='Att A pg 3-5'!A57,'Att A pg 3-5'!$G$94," ")</f>
        <v xml:space="preserve"> </v>
      </c>
      <c r="H57" s="82" t="str">
        <f>+IF('Att A pg 3-5'!$G$92&gt;='Att A pg 3-5'!A57,(+D57+E57+F57+G57)," ")</f>
        <v xml:space="preserve"> </v>
      </c>
      <c r="I57" s="82" t="str">
        <f>+IF('Att A pg 3-5'!$G$92&gt;='Att A pg 3-5'!A57,(1/((1+'Att A pg 3-5'!$G$84)^'Att A pg 3-5'!B57))," ")</f>
        <v xml:space="preserve"> </v>
      </c>
      <c r="J57" s="82" t="str">
        <f>+IF('Att A pg 3-5'!$G$92&gt;='Att A pg 3-5'!A57,'Att A pg 3-5'!H57*'Att A pg 3-5'!I57," ")</f>
        <v xml:space="preserve"> </v>
      </c>
      <c r="K57" s="82" t="str">
        <f>+IF('Att A pg 3-5'!$G$92&gt;='Att A pg 3-5'!A57,'Att A pg 3-5'!K56+'Att A pg 3-5'!J57," ")</f>
        <v xml:space="preserve"> </v>
      </c>
      <c r="L57" s="82" t="str">
        <f>+IF('Att A pg 3-5'!$G$92&gt;='Att A pg 3-5'!A57,'Att A pg 3-5'!K57*'Att A pg 3-5'!$G$84*(1+'Att A pg 3-5'!$G$84)^'Att A pg 3-5'!B57/((1+'Att A pg 3-5'!$G$84)^'Att A pg 3-5'!B57-1)," ")</f>
        <v xml:space="preserve"> </v>
      </c>
      <c r="M57" s="82"/>
      <c r="N57" s="82" t="s">
        <v>135</v>
      </c>
      <c r="O57" s="82" t="str">
        <f>+IF('Att A pg 3-5'!$G$92&gt;='Att A pg 3-5'!A57,(('Att A pg 3-5'!N57-'Att A pg 3-5'!E57)*('Att A pg 3-5'!$G$89))," ")</f>
        <v xml:space="preserve"> </v>
      </c>
      <c r="P57" s="89" t="str">
        <f>IF(+'Att A pg 3-5'!$G$92&gt;='Att A pg 3-5'!A57,+'Att A pg 3-5'!O57+P56,"")</f>
        <v/>
      </c>
      <c r="Q57" s="82"/>
      <c r="R57" s="82"/>
      <c r="S57" s="81"/>
      <c r="T57" s="84"/>
      <c r="V57" s="81"/>
      <c r="W57" s="92"/>
      <c r="X57" s="81"/>
      <c r="Y57" s="81"/>
      <c r="AA57" s="81"/>
      <c r="AB57" s="81"/>
    </row>
    <row r="58" spans="1:28" hidden="1" x14ac:dyDescent="0.2">
      <c r="A58" s="78">
        <v>48</v>
      </c>
      <c r="B58" s="69" t="str">
        <f>IF('Att A pg 3-5'!$G$92&gt;=A58,A58," ")</f>
        <v xml:space="preserve"> </v>
      </c>
      <c r="C58" s="88" t="str">
        <f>+IF('Att A pg 3-5'!$G$92&gt;='Att A pg 3-5'!A58,('Att A pg 3-5'!C57-'Att A pg 3-5'!E57-'Att A pg 3-5'!O57)," ")</f>
        <v xml:space="preserve"> </v>
      </c>
      <c r="D58" s="82" t="str">
        <f>+IF('Att A pg 3-5'!$G$92&gt;='Att A pg 3-5'!A58,'Att A pg 3-5'!$G$85*C58," ")</f>
        <v xml:space="preserve"> </v>
      </c>
      <c r="E58" s="82" t="str">
        <f>+IF('Att A pg 3-5'!$G$92&gt;='Att A pg 3-5'!A58, ((100/'Att A pg 3-5'!$G$92)/100),"")</f>
        <v/>
      </c>
      <c r="F58" s="81">
        <v>0</v>
      </c>
      <c r="G58" s="82" t="str">
        <f>+IF('Att A pg 3-5'!$G$92&gt;='Att A pg 3-5'!A58,'Att A pg 3-5'!$G$94," ")</f>
        <v xml:space="preserve"> </v>
      </c>
      <c r="H58" s="82" t="str">
        <f>+IF('Att A pg 3-5'!$G$92&gt;='Att A pg 3-5'!A58,(+D58+E58+F58+G58)," ")</f>
        <v xml:space="preserve"> </v>
      </c>
      <c r="I58" s="82" t="str">
        <f>+IF('Att A pg 3-5'!$G$92&gt;='Att A pg 3-5'!A58,(1/((1+'Att A pg 3-5'!$G$84)^'Att A pg 3-5'!B58))," ")</f>
        <v xml:space="preserve"> </v>
      </c>
      <c r="J58" s="82" t="str">
        <f>+IF('Att A pg 3-5'!$G$92&gt;='Att A pg 3-5'!A58,'Att A pg 3-5'!H58*'Att A pg 3-5'!I58," ")</f>
        <v xml:space="preserve"> </v>
      </c>
      <c r="K58" s="82" t="str">
        <f>+IF('Att A pg 3-5'!$G$92&gt;='Att A pg 3-5'!A58,'Att A pg 3-5'!K57+'Att A pg 3-5'!J58," ")</f>
        <v xml:space="preserve"> </v>
      </c>
      <c r="L58" s="82" t="str">
        <f>+IF('Att A pg 3-5'!$G$92&gt;='Att A pg 3-5'!A58,'Att A pg 3-5'!K58*'Att A pg 3-5'!$G$84*(1+'Att A pg 3-5'!$G$84)^'Att A pg 3-5'!B58/((1+'Att A pg 3-5'!$G$84)^'Att A pg 3-5'!B58-1)," ")</f>
        <v xml:space="preserve"> </v>
      </c>
      <c r="M58" s="82"/>
      <c r="N58" s="82" t="s">
        <v>135</v>
      </c>
      <c r="O58" s="82" t="str">
        <f>+IF('Att A pg 3-5'!$G$92&gt;='Att A pg 3-5'!A58,(('Att A pg 3-5'!N58-'Att A pg 3-5'!E58)*('Att A pg 3-5'!$G$89))," ")</f>
        <v xml:space="preserve"> </v>
      </c>
      <c r="P58" s="89" t="str">
        <f>IF(+'Att A pg 3-5'!$G$92&gt;='Att A pg 3-5'!A58,+'Att A pg 3-5'!O58+P57,"")</f>
        <v/>
      </c>
      <c r="Q58" s="82"/>
      <c r="R58" s="82"/>
      <c r="S58" s="81"/>
      <c r="T58" s="84"/>
      <c r="V58" s="81"/>
      <c r="W58" s="92"/>
      <c r="X58" s="81"/>
      <c r="Y58" s="81"/>
      <c r="AA58" s="81"/>
      <c r="AB58" s="81"/>
    </row>
    <row r="59" spans="1:28" hidden="1" x14ac:dyDescent="0.2">
      <c r="A59" s="78">
        <v>49</v>
      </c>
      <c r="B59" s="69" t="str">
        <f>IF('Att A pg 3-5'!$G$92&gt;=A59,A59," ")</f>
        <v xml:space="preserve"> </v>
      </c>
      <c r="C59" s="88" t="str">
        <f>+IF('Att A pg 3-5'!$G$92&gt;='Att A pg 3-5'!A59,('Att A pg 3-5'!C58-'Att A pg 3-5'!E58-'Att A pg 3-5'!O58)," ")</f>
        <v xml:space="preserve"> </v>
      </c>
      <c r="D59" s="82" t="str">
        <f>+IF('Att A pg 3-5'!$G$92&gt;='Att A pg 3-5'!A59,'Att A pg 3-5'!$G$85*C59," ")</f>
        <v xml:space="preserve"> </v>
      </c>
      <c r="E59" s="82" t="str">
        <f>+IF('Att A pg 3-5'!$G$92&gt;='Att A pg 3-5'!A59, ((100/'Att A pg 3-5'!$G$92)/100),"")</f>
        <v/>
      </c>
      <c r="F59" s="81">
        <v>0</v>
      </c>
      <c r="G59" s="82" t="str">
        <f>+IF('Att A pg 3-5'!$G$92&gt;='Att A pg 3-5'!A59,'Att A pg 3-5'!$G$94," ")</f>
        <v xml:space="preserve"> </v>
      </c>
      <c r="H59" s="82" t="str">
        <f>+IF('Att A pg 3-5'!$G$92&gt;='Att A pg 3-5'!A59,(+D59+E59+F59+G59)," ")</f>
        <v xml:space="preserve"> </v>
      </c>
      <c r="I59" s="82" t="str">
        <f>+IF('Att A pg 3-5'!$G$92&gt;='Att A pg 3-5'!A59,(1/((1+'Att A pg 3-5'!$G$84)^'Att A pg 3-5'!B59))," ")</f>
        <v xml:space="preserve"> </v>
      </c>
      <c r="J59" s="82" t="str">
        <f>+IF('Att A pg 3-5'!$G$92&gt;='Att A pg 3-5'!A59,'Att A pg 3-5'!H59*'Att A pg 3-5'!I59," ")</f>
        <v xml:space="preserve"> </v>
      </c>
      <c r="K59" s="82" t="str">
        <f>+IF('Att A pg 3-5'!$G$92&gt;='Att A pg 3-5'!A59,'Att A pg 3-5'!K58+'Att A pg 3-5'!J59," ")</f>
        <v xml:space="preserve"> </v>
      </c>
      <c r="L59" s="82" t="str">
        <f>+IF('Att A pg 3-5'!$G$92&gt;='Att A pg 3-5'!A59,'Att A pg 3-5'!K59*'Att A pg 3-5'!$G$84*(1+'Att A pg 3-5'!$G$84)^'Att A pg 3-5'!B59/((1+'Att A pg 3-5'!$G$84)^'Att A pg 3-5'!B59-1)," ")</f>
        <v xml:space="preserve"> </v>
      </c>
      <c r="M59" s="82"/>
      <c r="N59" s="82" t="s">
        <v>135</v>
      </c>
      <c r="O59" s="82" t="str">
        <f>+IF('Att A pg 3-5'!$G$92&gt;='Att A pg 3-5'!A59,(('Att A pg 3-5'!N59-'Att A pg 3-5'!E59)*('Att A pg 3-5'!$G$89))," ")</f>
        <v xml:space="preserve"> </v>
      </c>
      <c r="P59" s="89" t="str">
        <f>IF(+'Att A pg 3-5'!$G$92&gt;='Att A pg 3-5'!A59,+'Att A pg 3-5'!O59+P58,"")</f>
        <v/>
      </c>
      <c r="Q59" s="82"/>
      <c r="R59" s="82"/>
      <c r="S59" s="81"/>
      <c r="T59" s="84"/>
      <c r="V59" s="81"/>
      <c r="W59" s="92"/>
      <c r="X59" s="81"/>
      <c r="Y59" s="81"/>
      <c r="AA59" s="81"/>
      <c r="AB59" s="81"/>
    </row>
    <row r="60" spans="1:28" hidden="1" x14ac:dyDescent="0.2">
      <c r="A60" s="78">
        <v>50</v>
      </c>
      <c r="B60" s="69" t="str">
        <f>IF('Att A pg 3-5'!$G$92&gt;=A60,A60," ")</f>
        <v xml:space="preserve"> </v>
      </c>
      <c r="C60" s="88" t="str">
        <f>+IF('Att A pg 3-5'!$G$92&gt;='Att A pg 3-5'!A60,('Att A pg 3-5'!C59-'Att A pg 3-5'!E59-'Att A pg 3-5'!O59)," ")</f>
        <v xml:space="preserve"> </v>
      </c>
      <c r="D60" s="82" t="str">
        <f>+IF('Att A pg 3-5'!$G$92&gt;='Att A pg 3-5'!A60,'Att A pg 3-5'!$G$85*C60," ")</f>
        <v xml:space="preserve"> </v>
      </c>
      <c r="E60" s="82" t="str">
        <f>+IF('Att A pg 3-5'!$G$92&gt;='Att A pg 3-5'!A60, ((100/'Att A pg 3-5'!$G$92)/100),"")</f>
        <v/>
      </c>
      <c r="F60" s="81">
        <v>0</v>
      </c>
      <c r="G60" s="82" t="str">
        <f>+IF('Att A pg 3-5'!$G$92&gt;='Att A pg 3-5'!A60,'Att A pg 3-5'!$G$94," ")</f>
        <v xml:space="preserve"> </v>
      </c>
      <c r="H60" s="82" t="str">
        <f>+IF('Att A pg 3-5'!$G$92&gt;='Att A pg 3-5'!A60,(+D60+E60+F60+G60)," ")</f>
        <v xml:space="preserve"> </v>
      </c>
      <c r="I60" s="82" t="str">
        <f>+IF('Att A pg 3-5'!$G$92&gt;='Att A pg 3-5'!A60,(1/((1+'Att A pg 3-5'!$G$84)^'Att A pg 3-5'!B60))," ")</f>
        <v xml:space="preserve"> </v>
      </c>
      <c r="J60" s="82" t="str">
        <f>+IF('Att A pg 3-5'!$G$92&gt;='Att A pg 3-5'!A60,'Att A pg 3-5'!H60*'Att A pg 3-5'!I60," ")</f>
        <v xml:space="preserve"> </v>
      </c>
      <c r="K60" s="82" t="str">
        <f>+IF('Att A pg 3-5'!$G$92&gt;='Att A pg 3-5'!A60,'Att A pg 3-5'!K59+'Att A pg 3-5'!J60," ")</f>
        <v xml:space="preserve"> </v>
      </c>
      <c r="L60" s="82" t="str">
        <f>+IF('Att A pg 3-5'!$G$92&gt;='Att A pg 3-5'!A60,'Att A pg 3-5'!K60*'Att A pg 3-5'!$G$84*(1+'Att A pg 3-5'!$G$84)^'Att A pg 3-5'!B60/((1+'Att A pg 3-5'!$G$84)^'Att A pg 3-5'!B60-1)," ")</f>
        <v xml:space="preserve"> </v>
      </c>
      <c r="M60" s="82"/>
      <c r="N60" s="82" t="s">
        <v>135</v>
      </c>
      <c r="O60" s="82" t="str">
        <f>+IF('Att A pg 3-5'!$G$92&gt;='Att A pg 3-5'!A60,(('Att A pg 3-5'!N60-'Att A pg 3-5'!E60)*('Att A pg 3-5'!$G$89))," ")</f>
        <v xml:space="preserve"> </v>
      </c>
      <c r="P60" s="89" t="str">
        <f>IF(+'Att A pg 3-5'!$G$92&gt;='Att A pg 3-5'!A60,+'Att A pg 3-5'!O60+P59,"")</f>
        <v/>
      </c>
      <c r="Q60" s="82"/>
      <c r="R60" s="82"/>
      <c r="S60" s="81"/>
      <c r="T60" s="84"/>
      <c r="V60" s="81"/>
      <c r="W60" s="92"/>
      <c r="X60" s="81"/>
      <c r="Y60" s="81"/>
      <c r="AA60" s="81"/>
      <c r="AB60" s="81"/>
    </row>
    <row r="61" spans="1:28" hidden="1" x14ac:dyDescent="0.2">
      <c r="A61" s="78">
        <v>51</v>
      </c>
      <c r="B61" s="69" t="str">
        <f>IF('Att A pg 3-5'!$G$92&gt;=A61,A61," ")</f>
        <v xml:space="preserve"> </v>
      </c>
      <c r="C61" s="88" t="str">
        <f>+IF('Att A pg 3-5'!$G$92&gt;='Att A pg 3-5'!A61,('Att A pg 3-5'!C60-'Att A pg 3-5'!E60-'Att A pg 3-5'!O60)," ")</f>
        <v xml:space="preserve"> </v>
      </c>
      <c r="D61" s="82" t="str">
        <f>+IF('Att A pg 3-5'!$G$92&gt;='Att A pg 3-5'!A61,'Att A pg 3-5'!$G$85*C61," ")</f>
        <v xml:space="preserve"> </v>
      </c>
      <c r="E61" s="82" t="str">
        <f>+IF('Att A pg 3-5'!$G$92&gt;='Att A pg 3-5'!A61, ((100/'Att A pg 3-5'!$G$92)/100),"")</f>
        <v/>
      </c>
      <c r="F61" s="81">
        <v>0</v>
      </c>
      <c r="G61" s="82" t="str">
        <f>+IF('Att A pg 3-5'!$G$92&gt;='Att A pg 3-5'!A61,'Att A pg 3-5'!$G$94," ")</f>
        <v xml:space="preserve"> </v>
      </c>
      <c r="H61" s="82" t="str">
        <f>+IF('Att A pg 3-5'!$G$92&gt;='Att A pg 3-5'!A61,(+D61+E61+F61+G61)," ")</f>
        <v xml:space="preserve"> </v>
      </c>
      <c r="I61" s="82" t="str">
        <f>+IF('Att A pg 3-5'!$G$92&gt;='Att A pg 3-5'!A61,(1/((1+'Att A pg 3-5'!$G$84)^'Att A pg 3-5'!B61))," ")</f>
        <v xml:space="preserve"> </v>
      </c>
      <c r="J61" s="82" t="str">
        <f>+IF('Att A pg 3-5'!$G$92&gt;='Att A pg 3-5'!A61,'Att A pg 3-5'!H61*'Att A pg 3-5'!I61," ")</f>
        <v xml:space="preserve"> </v>
      </c>
      <c r="K61" s="82" t="str">
        <f>+IF('Att A pg 3-5'!$G$92&gt;='Att A pg 3-5'!A61,'Att A pg 3-5'!K60+'Att A pg 3-5'!J61," ")</f>
        <v xml:space="preserve"> </v>
      </c>
      <c r="L61" s="82" t="str">
        <f>+IF('Att A pg 3-5'!$G$92&gt;='Att A pg 3-5'!A61,'Att A pg 3-5'!K61*'Att A pg 3-5'!$G$84*(1+'Att A pg 3-5'!$G$84)^'Att A pg 3-5'!B61/((1+'Att A pg 3-5'!$G$84)^'Att A pg 3-5'!B61-1)," ")</f>
        <v xml:space="preserve"> </v>
      </c>
      <c r="M61" s="82"/>
      <c r="N61" s="82" t="s">
        <v>135</v>
      </c>
      <c r="O61" s="82" t="str">
        <f>+IF('Att A pg 3-5'!$G$92&gt;='Att A pg 3-5'!A61,(('Att A pg 3-5'!N61-'Att A pg 3-5'!E61)*('Att A pg 3-5'!$G$89))," ")</f>
        <v xml:space="preserve"> </v>
      </c>
      <c r="P61" s="89" t="str">
        <f>IF(+'Att A pg 3-5'!$G$92&gt;='Att A pg 3-5'!A61,+'Att A pg 3-5'!O61+P60,"")</f>
        <v/>
      </c>
      <c r="Q61" s="82"/>
      <c r="R61" s="82"/>
      <c r="S61" s="81"/>
      <c r="T61" s="84"/>
      <c r="V61" s="81"/>
      <c r="W61" s="92"/>
      <c r="X61" s="81"/>
      <c r="Y61" s="81"/>
      <c r="AA61" s="81"/>
      <c r="AB61" s="81"/>
    </row>
    <row r="62" spans="1:28" hidden="1" x14ac:dyDescent="0.2">
      <c r="A62" s="78">
        <v>52</v>
      </c>
      <c r="B62" s="69" t="str">
        <f>IF('Att A pg 3-5'!$G$92&gt;=A62,A62," ")</f>
        <v xml:space="preserve"> </v>
      </c>
      <c r="C62" s="88" t="str">
        <f>+IF('Att A pg 3-5'!$G$92&gt;='Att A pg 3-5'!A62,('Att A pg 3-5'!C61-'Att A pg 3-5'!E61-'Att A pg 3-5'!O61)," ")</f>
        <v xml:space="preserve"> </v>
      </c>
      <c r="D62" s="82" t="str">
        <f>+IF('Att A pg 3-5'!$G$92&gt;='Att A pg 3-5'!A62,'Att A pg 3-5'!$G$85*C62," ")</f>
        <v xml:space="preserve"> </v>
      </c>
      <c r="E62" s="82" t="str">
        <f>+IF('Att A pg 3-5'!$G$92&gt;='Att A pg 3-5'!A62, ((100/'Att A pg 3-5'!$G$92)/100),"")</f>
        <v/>
      </c>
      <c r="F62" s="81">
        <v>0</v>
      </c>
      <c r="G62" s="82" t="str">
        <f>+IF('Att A pg 3-5'!$G$92&gt;='Att A pg 3-5'!A62,'Att A pg 3-5'!$G$94," ")</f>
        <v xml:space="preserve"> </v>
      </c>
      <c r="H62" s="82" t="str">
        <f>+IF('Att A pg 3-5'!$G$92&gt;='Att A pg 3-5'!A62,(+D62+E62+F62+G62)," ")</f>
        <v xml:space="preserve"> </v>
      </c>
      <c r="I62" s="82" t="str">
        <f>+IF('Att A pg 3-5'!$G$92&gt;='Att A pg 3-5'!A62,(1/((1+'Att A pg 3-5'!$G$84)^'Att A pg 3-5'!B62))," ")</f>
        <v xml:space="preserve"> </v>
      </c>
      <c r="J62" s="82" t="str">
        <f>+IF('Att A pg 3-5'!$G$92&gt;='Att A pg 3-5'!A62,'Att A pg 3-5'!H62*'Att A pg 3-5'!I62," ")</f>
        <v xml:space="preserve"> </v>
      </c>
      <c r="K62" s="82" t="str">
        <f>+IF('Att A pg 3-5'!$G$92&gt;='Att A pg 3-5'!A62,'Att A pg 3-5'!K61+'Att A pg 3-5'!J62," ")</f>
        <v xml:space="preserve"> </v>
      </c>
      <c r="L62" s="82" t="str">
        <f>+IF('Att A pg 3-5'!$G$92&gt;='Att A pg 3-5'!A62,'Att A pg 3-5'!K62*'Att A pg 3-5'!$G$84*(1+'Att A pg 3-5'!$G$84)^'Att A pg 3-5'!B62/((1+'Att A pg 3-5'!$G$84)^'Att A pg 3-5'!B62-1)," ")</f>
        <v xml:space="preserve"> </v>
      </c>
      <c r="M62" s="82"/>
      <c r="N62" s="82" t="s">
        <v>135</v>
      </c>
      <c r="O62" s="82" t="str">
        <f>+IF('Att A pg 3-5'!$G$92&gt;='Att A pg 3-5'!A62,(('Att A pg 3-5'!N62-'Att A pg 3-5'!E62)*('Att A pg 3-5'!$G$89))," ")</f>
        <v xml:space="preserve"> </v>
      </c>
      <c r="P62" s="89" t="str">
        <f>IF(+'Att A pg 3-5'!$G$92&gt;='Att A pg 3-5'!A62,+'Att A pg 3-5'!O62+P61,"")</f>
        <v/>
      </c>
      <c r="Q62" s="82"/>
      <c r="R62" s="82"/>
      <c r="S62" s="81"/>
      <c r="T62" s="84"/>
      <c r="V62" s="81"/>
      <c r="W62" s="92"/>
      <c r="X62" s="81"/>
      <c r="Y62" s="81"/>
      <c r="AA62" s="81"/>
      <c r="AB62" s="81"/>
    </row>
    <row r="63" spans="1:28" hidden="1" x14ac:dyDescent="0.2">
      <c r="A63" s="78">
        <v>53</v>
      </c>
      <c r="B63" s="69" t="str">
        <f>IF('Att A pg 3-5'!$G$92&gt;=A63,A63," ")</f>
        <v xml:space="preserve"> </v>
      </c>
      <c r="C63" s="88" t="str">
        <f>+IF('Att A pg 3-5'!$G$92&gt;='Att A pg 3-5'!A63,('Att A pg 3-5'!C62-'Att A pg 3-5'!E62-'Att A pg 3-5'!O62)," ")</f>
        <v xml:space="preserve"> </v>
      </c>
      <c r="D63" s="82" t="str">
        <f>+IF('Att A pg 3-5'!$G$92&gt;='Att A pg 3-5'!A63,'Att A pg 3-5'!$G$85*C63," ")</f>
        <v xml:space="preserve"> </v>
      </c>
      <c r="E63" s="82" t="str">
        <f>+IF('Att A pg 3-5'!$G$92&gt;='Att A pg 3-5'!A63, ((100/'Att A pg 3-5'!$G$92)/100),"")</f>
        <v/>
      </c>
      <c r="F63" s="81">
        <v>0</v>
      </c>
      <c r="G63" s="82" t="str">
        <f>+IF('Att A pg 3-5'!$G$92&gt;='Att A pg 3-5'!A63,'Att A pg 3-5'!$G$94," ")</f>
        <v xml:space="preserve"> </v>
      </c>
      <c r="H63" s="82" t="str">
        <f>+IF('Att A pg 3-5'!$G$92&gt;='Att A pg 3-5'!A63,(+D63+E63+F63+G63)," ")</f>
        <v xml:space="preserve"> </v>
      </c>
      <c r="I63" s="82" t="str">
        <f>+IF('Att A pg 3-5'!$G$92&gt;='Att A pg 3-5'!A63,(1/((1+'Att A pg 3-5'!$G$84)^'Att A pg 3-5'!B63))," ")</f>
        <v xml:space="preserve"> </v>
      </c>
      <c r="J63" s="82" t="str">
        <f>+IF('Att A pg 3-5'!$G$92&gt;='Att A pg 3-5'!A63,'Att A pg 3-5'!H63*'Att A pg 3-5'!I63," ")</f>
        <v xml:space="preserve"> </v>
      </c>
      <c r="K63" s="82" t="str">
        <f>+IF('Att A pg 3-5'!$G$92&gt;='Att A pg 3-5'!A63,'Att A pg 3-5'!K62+'Att A pg 3-5'!J63," ")</f>
        <v xml:space="preserve"> </v>
      </c>
      <c r="L63" s="82" t="str">
        <f>+IF('Att A pg 3-5'!$G$92&gt;='Att A pg 3-5'!A63,'Att A pg 3-5'!K63*'Att A pg 3-5'!$G$84*(1+'Att A pg 3-5'!$G$84)^'Att A pg 3-5'!B63/((1+'Att A pg 3-5'!$G$84)^'Att A pg 3-5'!B63-1)," ")</f>
        <v xml:space="preserve"> </v>
      </c>
      <c r="M63" s="82"/>
      <c r="N63" s="82" t="s">
        <v>135</v>
      </c>
      <c r="O63" s="82" t="str">
        <f>+IF('Att A pg 3-5'!$G$92&gt;='Att A pg 3-5'!A63,(('Att A pg 3-5'!N63-'Att A pg 3-5'!E63)*('Att A pg 3-5'!$G$89))," ")</f>
        <v xml:space="preserve"> </v>
      </c>
      <c r="P63" s="89" t="str">
        <f>IF(+'Att A pg 3-5'!$G$92&gt;='Att A pg 3-5'!A63,+'Att A pg 3-5'!O63+P62,"")</f>
        <v/>
      </c>
      <c r="Q63" s="82"/>
      <c r="R63" s="82"/>
      <c r="S63" s="81"/>
      <c r="T63" s="84"/>
      <c r="V63" s="81"/>
      <c r="W63" s="92"/>
      <c r="X63" s="81"/>
      <c r="Y63" s="81"/>
      <c r="AA63" s="81"/>
      <c r="AB63" s="81"/>
    </row>
    <row r="64" spans="1:28" hidden="1" x14ac:dyDescent="0.2">
      <c r="A64" s="78">
        <v>54</v>
      </c>
      <c r="B64" s="69" t="str">
        <f>IF('Att A pg 3-5'!$G$92&gt;=A64,A64," ")</f>
        <v xml:space="preserve"> </v>
      </c>
      <c r="C64" s="88" t="str">
        <f>+IF('Att A pg 3-5'!$G$92&gt;='Att A pg 3-5'!A64,('Att A pg 3-5'!C63-'Att A pg 3-5'!E63-'Att A pg 3-5'!O63)," ")</f>
        <v xml:space="preserve"> </v>
      </c>
      <c r="D64" s="82" t="str">
        <f>+IF('Att A pg 3-5'!$G$92&gt;='Att A pg 3-5'!A64,'Att A pg 3-5'!$G$85*C64," ")</f>
        <v xml:space="preserve"> </v>
      </c>
      <c r="E64" s="82" t="str">
        <f>+IF('Att A pg 3-5'!$G$92&gt;='Att A pg 3-5'!A64, ((100/'Att A pg 3-5'!$G$92)/100),"")</f>
        <v/>
      </c>
      <c r="F64" s="81">
        <v>0</v>
      </c>
      <c r="G64" s="82" t="str">
        <f>+IF('Att A pg 3-5'!$G$92&gt;='Att A pg 3-5'!A64,'Att A pg 3-5'!$G$94," ")</f>
        <v xml:space="preserve"> </v>
      </c>
      <c r="H64" s="82" t="str">
        <f>+IF('Att A pg 3-5'!$G$92&gt;='Att A pg 3-5'!A64,(+D64+E64+F64+G64)," ")</f>
        <v xml:space="preserve"> </v>
      </c>
      <c r="I64" s="82" t="str">
        <f>+IF('Att A pg 3-5'!$G$92&gt;='Att A pg 3-5'!A64,(1/((1+'Att A pg 3-5'!$G$84)^'Att A pg 3-5'!B64))," ")</f>
        <v xml:space="preserve"> </v>
      </c>
      <c r="J64" s="82" t="str">
        <f>+IF('Att A pg 3-5'!$G$92&gt;='Att A pg 3-5'!A64,'Att A pg 3-5'!H64*'Att A pg 3-5'!I64," ")</f>
        <v xml:space="preserve"> </v>
      </c>
      <c r="K64" s="82" t="str">
        <f>+IF('Att A pg 3-5'!$G$92&gt;='Att A pg 3-5'!A64,'Att A pg 3-5'!K63+'Att A pg 3-5'!J64," ")</f>
        <v xml:space="preserve"> </v>
      </c>
      <c r="L64" s="82" t="str">
        <f>+IF('Att A pg 3-5'!$G$92&gt;='Att A pg 3-5'!A64,'Att A pg 3-5'!K64*'Att A pg 3-5'!$G$84*(1+'Att A pg 3-5'!$G$84)^'Att A pg 3-5'!B64/((1+'Att A pg 3-5'!$G$84)^'Att A pg 3-5'!B64-1)," ")</f>
        <v xml:space="preserve"> </v>
      </c>
      <c r="M64" s="82"/>
      <c r="N64" s="82" t="s">
        <v>135</v>
      </c>
      <c r="O64" s="82" t="str">
        <f>+IF('Att A pg 3-5'!$G$92&gt;='Att A pg 3-5'!A64,(('Att A pg 3-5'!N64-'Att A pg 3-5'!E64)*('Att A pg 3-5'!$G$89))," ")</f>
        <v xml:space="preserve"> </v>
      </c>
      <c r="P64" s="89" t="str">
        <f>IF(+'Att A pg 3-5'!$G$92&gt;='Att A pg 3-5'!A64,+'Att A pg 3-5'!O64+P63,"")</f>
        <v/>
      </c>
      <c r="Q64" s="82"/>
      <c r="R64" s="82"/>
      <c r="S64" s="81"/>
      <c r="T64" s="84"/>
      <c r="V64" s="81"/>
      <c r="W64" s="92"/>
      <c r="X64" s="81"/>
      <c r="Y64" s="81"/>
      <c r="AA64" s="81"/>
      <c r="AB64" s="81"/>
    </row>
    <row r="65" spans="1:28" hidden="1" x14ac:dyDescent="0.2">
      <c r="A65" s="78">
        <v>55</v>
      </c>
      <c r="B65" s="69" t="str">
        <f>IF('Att A pg 3-5'!$G$92&gt;=A65,A65," ")</f>
        <v xml:space="preserve"> </v>
      </c>
      <c r="C65" s="88" t="str">
        <f>+IF('Att A pg 3-5'!$G$92&gt;='Att A pg 3-5'!A65,('Att A pg 3-5'!C64-'Att A pg 3-5'!E64-'Att A pg 3-5'!O64)," ")</f>
        <v xml:space="preserve"> </v>
      </c>
      <c r="D65" s="82" t="str">
        <f>+IF('Att A pg 3-5'!$G$92&gt;='Att A pg 3-5'!A65,'Att A pg 3-5'!$G$85*C65," ")</f>
        <v xml:space="preserve"> </v>
      </c>
      <c r="E65" s="82" t="str">
        <f>+IF('Att A pg 3-5'!$G$92&gt;='Att A pg 3-5'!A65, ((100/'Att A pg 3-5'!$G$92)/100),"")</f>
        <v/>
      </c>
      <c r="F65" s="81">
        <v>0</v>
      </c>
      <c r="G65" s="82" t="str">
        <f>+IF('Att A pg 3-5'!$G$92&gt;='Att A pg 3-5'!A65,'Att A pg 3-5'!$G$94," ")</f>
        <v xml:space="preserve"> </v>
      </c>
      <c r="H65" s="82" t="str">
        <f>+IF('Att A pg 3-5'!$G$92&gt;='Att A pg 3-5'!A65,(+D65+E65+F65+G65)," ")</f>
        <v xml:space="preserve"> </v>
      </c>
      <c r="I65" s="82" t="str">
        <f>+IF('Att A pg 3-5'!$G$92&gt;='Att A pg 3-5'!A65,(1/((1+'Att A pg 3-5'!$G$84)^'Att A pg 3-5'!B65))," ")</f>
        <v xml:space="preserve"> </v>
      </c>
      <c r="J65" s="82" t="str">
        <f>+IF('Att A pg 3-5'!$G$92&gt;='Att A pg 3-5'!A65,'Att A pg 3-5'!H65*'Att A pg 3-5'!I65," ")</f>
        <v xml:space="preserve"> </v>
      </c>
      <c r="K65" s="82" t="str">
        <f>+IF('Att A pg 3-5'!$G$92&gt;='Att A pg 3-5'!A65,'Att A pg 3-5'!K64+'Att A pg 3-5'!J65," ")</f>
        <v xml:space="preserve"> </v>
      </c>
      <c r="L65" s="82" t="str">
        <f>+IF('Att A pg 3-5'!$G$92&gt;='Att A pg 3-5'!A65,'Att A pg 3-5'!K65*'Att A pg 3-5'!$G$84*(1+'Att A pg 3-5'!$G$84)^'Att A pg 3-5'!B65/((1+'Att A pg 3-5'!$G$84)^'Att A pg 3-5'!B65-1)," ")</f>
        <v xml:space="preserve"> </v>
      </c>
      <c r="M65" s="82"/>
      <c r="N65" s="82" t="s">
        <v>135</v>
      </c>
      <c r="O65" s="82" t="str">
        <f>+IF('Att A pg 3-5'!$G$92&gt;='Att A pg 3-5'!A65,(('Att A pg 3-5'!N65-'Att A pg 3-5'!E65)*('Att A pg 3-5'!$G$89))," ")</f>
        <v xml:space="preserve"> </v>
      </c>
      <c r="P65" s="89" t="str">
        <f>IF(+'Att A pg 3-5'!$G$92&gt;='Att A pg 3-5'!A65,+'Att A pg 3-5'!O65+P64,"")</f>
        <v/>
      </c>
      <c r="Q65" s="82"/>
      <c r="R65" s="82"/>
      <c r="S65" s="81"/>
      <c r="T65" s="84"/>
      <c r="V65" s="81"/>
      <c r="W65" s="92"/>
      <c r="X65" s="81"/>
      <c r="Y65" s="81"/>
      <c r="AA65" s="81"/>
      <c r="AB65" s="81"/>
    </row>
    <row r="66" spans="1:28" x14ac:dyDescent="0.2">
      <c r="A66" s="78"/>
      <c r="B66" s="79"/>
      <c r="C66" s="80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9"/>
      <c r="Q66" s="81"/>
      <c r="R66" s="93"/>
      <c r="S66" s="81"/>
      <c r="T66" s="84"/>
      <c r="V66" s="81"/>
      <c r="W66" s="92"/>
      <c r="X66" s="81"/>
      <c r="Y66" s="81"/>
      <c r="AA66" s="81"/>
      <c r="AB66" s="81"/>
    </row>
    <row r="67" spans="1:28" x14ac:dyDescent="0.2">
      <c r="A67" s="78"/>
      <c r="B67" s="79"/>
      <c r="C67" s="80"/>
      <c r="D67" s="81"/>
      <c r="E67" s="81"/>
      <c r="F67" s="82"/>
      <c r="G67" s="82"/>
      <c r="H67" s="82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4"/>
      <c r="X67" s="81"/>
      <c r="Y67" s="81"/>
      <c r="AA67" s="81"/>
      <c r="AB67" s="81"/>
    </row>
    <row r="68" spans="1:28" x14ac:dyDescent="0.2">
      <c r="B68" s="94"/>
      <c r="C68" s="94"/>
      <c r="D68" s="95"/>
      <c r="P68" s="84"/>
      <c r="Q68" s="84"/>
      <c r="R68" s="84"/>
      <c r="S68" s="84"/>
      <c r="T68" s="84"/>
      <c r="AA68" s="81"/>
      <c r="AB68" s="81"/>
    </row>
    <row r="69" spans="1:28" x14ac:dyDescent="0.2">
      <c r="A69" s="94" t="s">
        <v>75</v>
      </c>
      <c r="C69" s="94"/>
      <c r="AA69" s="81"/>
      <c r="AB69" s="81"/>
    </row>
    <row r="70" spans="1:28" x14ac:dyDescent="0.2">
      <c r="A70" s="94" t="s">
        <v>76</v>
      </c>
      <c r="C70" s="94"/>
      <c r="AA70" s="81"/>
      <c r="AB70" s="81"/>
    </row>
    <row r="71" spans="1:28" x14ac:dyDescent="0.2">
      <c r="A71" s="96" t="s">
        <v>77</v>
      </c>
      <c r="C71" s="94"/>
      <c r="AA71" s="81"/>
      <c r="AB71" s="81"/>
    </row>
    <row r="72" spans="1:28" x14ac:dyDescent="0.2">
      <c r="A72" s="96" t="s">
        <v>78</v>
      </c>
      <c r="C72" s="94"/>
      <c r="AA72" s="81"/>
      <c r="AB72" s="81"/>
    </row>
    <row r="73" spans="1:28" x14ac:dyDescent="0.2">
      <c r="A73" s="96" t="s">
        <v>79</v>
      </c>
      <c r="C73" s="94"/>
      <c r="AA73" s="81"/>
      <c r="AB73" s="81"/>
    </row>
    <row r="74" spans="1:28" x14ac:dyDescent="0.2">
      <c r="A74" s="96" t="s">
        <v>80</v>
      </c>
      <c r="C74" s="94"/>
      <c r="AA74" s="81"/>
      <c r="AB74" s="81"/>
    </row>
    <row r="75" spans="1:28" x14ac:dyDescent="0.2">
      <c r="A75" s="96" t="s">
        <v>81</v>
      </c>
      <c r="C75" s="94"/>
      <c r="AA75" s="81"/>
      <c r="AB75" s="81"/>
    </row>
    <row r="76" spans="1:28" x14ac:dyDescent="0.2">
      <c r="A76" s="96" t="s">
        <v>82</v>
      </c>
      <c r="C76" s="94"/>
      <c r="AA76" s="81"/>
      <c r="AB76" s="81"/>
    </row>
    <row r="77" spans="1:28" x14ac:dyDescent="0.2">
      <c r="A77" s="96" t="s">
        <v>83</v>
      </c>
      <c r="C77" s="94"/>
      <c r="AA77" s="81"/>
      <c r="AB77" s="81"/>
    </row>
    <row r="78" spans="1:28" x14ac:dyDescent="0.2">
      <c r="A78" s="49" t="s">
        <v>84</v>
      </c>
      <c r="C78" s="94"/>
      <c r="AA78" s="81"/>
      <c r="AB78" s="81"/>
    </row>
    <row r="79" spans="1:28" x14ac:dyDescent="0.2">
      <c r="A79" s="97" t="s">
        <v>85</v>
      </c>
      <c r="C79" s="94"/>
      <c r="AA79" s="81"/>
      <c r="AB79" s="81"/>
    </row>
    <row r="80" spans="1:28" x14ac:dyDescent="0.2">
      <c r="A80" s="97" t="s">
        <v>86</v>
      </c>
      <c r="C80" s="94"/>
      <c r="AA80" s="81"/>
      <c r="AB80" s="81"/>
    </row>
    <row r="81" spans="1:28" x14ac:dyDescent="0.2">
      <c r="C81" s="94"/>
      <c r="AA81" s="81"/>
      <c r="AB81" s="81"/>
    </row>
    <row r="82" spans="1:28" x14ac:dyDescent="0.2">
      <c r="C82" s="94"/>
      <c r="AA82" s="81"/>
      <c r="AB82" s="81"/>
    </row>
    <row r="83" spans="1:28" x14ac:dyDescent="0.2">
      <c r="A83" s="98" t="s">
        <v>87</v>
      </c>
      <c r="B83" s="98"/>
      <c r="C83" s="99"/>
      <c r="D83" s="99"/>
      <c r="E83" s="99"/>
      <c r="F83" s="99"/>
      <c r="G83" s="98"/>
      <c r="AA83" s="81"/>
      <c r="AB83" s="81"/>
    </row>
    <row r="84" spans="1:28" x14ac:dyDescent="0.2">
      <c r="A84" s="100" t="s">
        <v>88</v>
      </c>
      <c r="B84" s="100"/>
      <c r="G84" s="101">
        <v>7.0319999999999994E-2</v>
      </c>
      <c r="AA84" s="81"/>
      <c r="AB84" s="81"/>
    </row>
    <row r="85" spans="1:28" x14ac:dyDescent="0.2">
      <c r="A85" s="100" t="s">
        <v>89</v>
      </c>
      <c r="B85" s="100"/>
      <c r="G85" s="101">
        <v>8.2919999999999994E-2</v>
      </c>
      <c r="AA85" s="81"/>
      <c r="AB85" s="81"/>
    </row>
    <row r="86" spans="1:28" x14ac:dyDescent="0.2">
      <c r="A86" s="100"/>
      <c r="B86" s="100"/>
      <c r="G86" s="101"/>
      <c r="N86" s="97"/>
      <c r="AA86" s="81"/>
      <c r="AB86" s="81"/>
    </row>
    <row r="87" spans="1:28" x14ac:dyDescent="0.2">
      <c r="A87" s="100" t="s">
        <v>90</v>
      </c>
      <c r="B87" s="100"/>
      <c r="G87" s="102">
        <v>0.21</v>
      </c>
      <c r="AA87" s="81"/>
      <c r="AB87" s="81"/>
    </row>
    <row r="88" spans="1:28" x14ac:dyDescent="0.2">
      <c r="A88" s="100" t="s">
        <v>91</v>
      </c>
      <c r="B88" s="100"/>
      <c r="G88" s="102"/>
      <c r="AA88" s="81"/>
      <c r="AB88" s="81"/>
    </row>
    <row r="89" spans="1:28" x14ac:dyDescent="0.2">
      <c r="A89" s="100" t="s">
        <v>92</v>
      </c>
      <c r="B89" s="100"/>
      <c r="G89" s="103">
        <f>+ROUND((G88*0.65)+G87,6)</f>
        <v>0.21</v>
      </c>
      <c r="AA89" s="81"/>
      <c r="AB89" s="81"/>
    </row>
    <row r="90" spans="1:28" x14ac:dyDescent="0.2">
      <c r="A90" s="100" t="s">
        <v>93</v>
      </c>
      <c r="B90" s="100"/>
      <c r="G90" s="104">
        <f>+ROUND(1-G89,6)</f>
        <v>0.79</v>
      </c>
      <c r="AA90" s="81"/>
      <c r="AB90" s="81"/>
    </row>
    <row r="91" spans="1:28" x14ac:dyDescent="0.2">
      <c r="A91" s="105"/>
      <c r="B91" s="105"/>
      <c r="G91" s="105"/>
      <c r="AA91" s="81"/>
      <c r="AB91" s="81"/>
    </row>
    <row r="92" spans="1:28" x14ac:dyDescent="0.2">
      <c r="A92" s="100" t="s">
        <v>94</v>
      </c>
      <c r="B92" s="100"/>
      <c r="G92" s="106">
        <v>40</v>
      </c>
      <c r="AA92" s="81"/>
      <c r="AB92" s="81"/>
    </row>
    <row r="93" spans="1:28" x14ac:dyDescent="0.2">
      <c r="A93" s="100" t="s">
        <v>95</v>
      </c>
      <c r="B93" s="100"/>
      <c r="G93" s="105">
        <v>15</v>
      </c>
      <c r="AA93" s="81"/>
      <c r="AB93" s="81"/>
    </row>
    <row r="94" spans="1:28" x14ac:dyDescent="0.2">
      <c r="A94" s="49" t="s">
        <v>96</v>
      </c>
      <c r="G94" s="107">
        <v>3.9399999999999999E-3</v>
      </c>
    </row>
  </sheetData>
  <mergeCells count="2">
    <mergeCell ref="V9:Y9"/>
    <mergeCell ref="AA9:AB9"/>
  </mergeCells>
  <printOptions horizontalCentered="1"/>
  <pageMargins left="0.42" right="0.42" top="1" bottom="1.25" header="0.3" footer="0.17"/>
  <pageSetup scale="98" fitToHeight="0" orientation="landscape" r:id="rId1"/>
  <headerFooter>
    <oddFooter>&amp;C&amp;"Arial,Regular"&amp;10&amp;P</oddFooter>
  </headerFooter>
  <rowBreaks count="2" manualBreakCount="2">
    <brk id="37" max="14" man="1"/>
    <brk id="6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3DDA-81AE-48B7-BE35-594700FC88E9}">
  <dimension ref="A1:Q90"/>
  <sheetViews>
    <sheetView showGridLines="0" workbookViewId="0"/>
  </sheetViews>
  <sheetFormatPr defaultColWidth="11" defaultRowHeight="12.75" x14ac:dyDescent="0.2"/>
  <cols>
    <col min="1" max="16384" width="11" style="49"/>
  </cols>
  <sheetData>
    <row r="1" spans="1:17" x14ac:dyDescent="0.2">
      <c r="A1" s="108" t="s">
        <v>97</v>
      </c>
    </row>
    <row r="2" spans="1:17" x14ac:dyDescent="0.2">
      <c r="A2" s="58" t="s">
        <v>98</v>
      </c>
    </row>
    <row r="3" spans="1:17" x14ac:dyDescent="0.2">
      <c r="A3" s="58" t="s">
        <v>99</v>
      </c>
    </row>
    <row r="5" spans="1:17" x14ac:dyDescent="0.2">
      <c r="B5" s="109" t="s">
        <v>100</v>
      </c>
      <c r="C5" s="109"/>
      <c r="D5" s="109"/>
      <c r="E5" s="109"/>
      <c r="F5" s="109"/>
      <c r="G5" s="109"/>
    </row>
    <row r="6" spans="1:17" x14ac:dyDescent="0.2">
      <c r="B6" s="110">
        <v>5</v>
      </c>
      <c r="C6" s="110">
        <v>7</v>
      </c>
      <c r="D6" s="110">
        <v>10</v>
      </c>
      <c r="E6" s="110">
        <v>15</v>
      </c>
      <c r="F6" s="110">
        <v>20</v>
      </c>
      <c r="G6" s="110">
        <v>39</v>
      </c>
      <c r="H6" s="58"/>
      <c r="J6" s="108"/>
      <c r="K6" s="108"/>
      <c r="L6" s="108"/>
      <c r="M6" s="108"/>
      <c r="N6" s="58"/>
      <c r="O6" s="58"/>
      <c r="P6" s="58"/>
      <c r="Q6" s="58"/>
    </row>
    <row r="7" spans="1:17" x14ac:dyDescent="0.2">
      <c r="A7" s="49">
        <v>1</v>
      </c>
      <c r="B7" s="111">
        <v>0.2</v>
      </c>
      <c r="C7" s="111">
        <v>0.1429</v>
      </c>
      <c r="D7" s="111">
        <v>0.1</v>
      </c>
      <c r="E7" s="111">
        <v>0.05</v>
      </c>
      <c r="F7" s="111">
        <v>3.7499999999999999E-2</v>
      </c>
      <c r="G7" s="111">
        <v>1.2840000000000001E-2</v>
      </c>
      <c r="H7" s="58"/>
      <c r="J7" s="58"/>
      <c r="K7" s="58"/>
      <c r="L7" s="58"/>
      <c r="M7" s="58"/>
      <c r="N7" s="58"/>
      <c r="O7" s="58"/>
      <c r="P7" s="58"/>
      <c r="Q7" s="58"/>
    </row>
    <row r="8" spans="1:17" x14ac:dyDescent="0.2">
      <c r="A8" s="49">
        <v>2</v>
      </c>
      <c r="B8" s="111">
        <v>0.32</v>
      </c>
      <c r="C8" s="111">
        <v>0.24490000000000001</v>
      </c>
      <c r="D8" s="111">
        <v>0.18</v>
      </c>
      <c r="E8" s="111">
        <v>9.5000000000000001E-2</v>
      </c>
      <c r="F8" s="111">
        <v>7.2190000000000004E-2</v>
      </c>
      <c r="G8" s="111">
        <v>2.564E-2</v>
      </c>
      <c r="H8" s="58"/>
      <c r="J8" s="58"/>
      <c r="K8" s="58"/>
      <c r="L8" s="58"/>
      <c r="M8" s="58"/>
      <c r="N8" s="58"/>
      <c r="O8" s="58"/>
      <c r="P8" s="58"/>
      <c r="Q8" s="58"/>
    </row>
    <row r="9" spans="1:17" x14ac:dyDescent="0.2">
      <c r="A9" s="49">
        <v>3</v>
      </c>
      <c r="B9" s="111">
        <v>0.192</v>
      </c>
      <c r="C9" s="111">
        <v>0.1749</v>
      </c>
      <c r="D9" s="111">
        <v>0.14399999999999999</v>
      </c>
      <c r="E9" s="111">
        <v>8.5500000000000007E-2</v>
      </c>
      <c r="F9" s="111">
        <v>6.6769999999999996E-2</v>
      </c>
      <c r="G9" s="111">
        <v>2.564E-2</v>
      </c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7" x14ac:dyDescent="0.2">
      <c r="A10" s="49">
        <v>4</v>
      </c>
      <c r="B10" s="111">
        <v>0.1152</v>
      </c>
      <c r="C10" s="111">
        <v>0.1249</v>
      </c>
      <c r="D10" s="111">
        <v>0.1152</v>
      </c>
      <c r="E10" s="111">
        <v>7.6999999999999999E-2</v>
      </c>
      <c r="F10" s="111">
        <v>6.1769999999999999E-2</v>
      </c>
      <c r="G10" s="111">
        <v>2.564E-2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1:17" x14ac:dyDescent="0.2">
      <c r="A11" s="49">
        <v>5</v>
      </c>
      <c r="B11" s="111">
        <v>0.1152</v>
      </c>
      <c r="C11" s="111">
        <v>8.9300000000000004E-2</v>
      </c>
      <c r="D11" s="111">
        <v>9.2200000000000004E-2</v>
      </c>
      <c r="E11" s="111">
        <v>6.93E-2</v>
      </c>
      <c r="F11" s="111">
        <v>5.713E-2</v>
      </c>
      <c r="G11" s="111">
        <v>2.564E-2</v>
      </c>
      <c r="H11" s="58"/>
      <c r="J11" s="58"/>
      <c r="L11" s="58"/>
      <c r="M11" s="58"/>
      <c r="N11" s="58"/>
      <c r="O11" s="58"/>
      <c r="P11" s="58"/>
      <c r="Q11" s="58"/>
    </row>
    <row r="12" spans="1:17" x14ac:dyDescent="0.2">
      <c r="A12" s="49">
        <v>6</v>
      </c>
      <c r="B12" s="111">
        <v>5.7599999999999998E-2</v>
      </c>
      <c r="C12" s="111">
        <v>8.9200000000000002E-2</v>
      </c>
      <c r="D12" s="111">
        <v>7.3700000000000002E-2</v>
      </c>
      <c r="E12" s="111">
        <v>6.2300000000000001E-2</v>
      </c>
      <c r="F12" s="111">
        <v>5.2850000000000001E-2</v>
      </c>
      <c r="G12" s="111">
        <v>2.564E-2</v>
      </c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17" x14ac:dyDescent="0.2">
      <c r="A13" s="49">
        <v>7</v>
      </c>
      <c r="B13" s="111">
        <v>0</v>
      </c>
      <c r="C13" s="111">
        <v>8.9300000000000004E-2</v>
      </c>
      <c r="D13" s="111">
        <v>6.5500000000000003E-2</v>
      </c>
      <c r="E13" s="111">
        <v>5.8999999999999997E-2</v>
      </c>
      <c r="F13" s="111">
        <v>4.888E-2</v>
      </c>
      <c r="G13" s="111">
        <v>2.564E-2</v>
      </c>
      <c r="H13" s="58"/>
      <c r="I13" s="58"/>
      <c r="J13" s="112">
        <v>7.4293900037800009E-2</v>
      </c>
      <c r="K13" s="108" t="s">
        <v>101</v>
      </c>
      <c r="M13" s="58"/>
      <c r="N13" s="58"/>
      <c r="P13" s="58"/>
      <c r="Q13" s="58"/>
    </row>
    <row r="14" spans="1:17" x14ac:dyDescent="0.2">
      <c r="A14" s="49">
        <v>8</v>
      </c>
      <c r="B14" s="111">
        <v>0</v>
      </c>
      <c r="C14" s="111">
        <v>4.4600000000000001E-2</v>
      </c>
      <c r="D14" s="111">
        <v>6.5500000000000003E-2</v>
      </c>
      <c r="E14" s="111">
        <v>5.8999999999999997E-2</v>
      </c>
      <c r="F14" s="111">
        <v>4.5220000000000003E-2</v>
      </c>
      <c r="G14" s="111">
        <v>2.564E-2</v>
      </c>
      <c r="H14" s="58"/>
      <c r="I14" s="58"/>
      <c r="J14" s="58"/>
      <c r="K14" s="58"/>
      <c r="L14" s="58"/>
      <c r="M14" s="58"/>
      <c r="N14" s="58"/>
      <c r="P14" s="58"/>
      <c r="Q14" s="58"/>
    </row>
    <row r="15" spans="1:17" x14ac:dyDescent="0.2">
      <c r="A15" s="49">
        <v>9</v>
      </c>
      <c r="B15" s="111">
        <v>0</v>
      </c>
      <c r="C15" s="111">
        <v>0</v>
      </c>
      <c r="D15" s="111">
        <v>6.5600000000000006E-2</v>
      </c>
      <c r="E15" s="111">
        <v>5.91E-2</v>
      </c>
      <c r="F15" s="111">
        <v>4.462E-2</v>
      </c>
      <c r="G15" s="111">
        <v>2.564E-2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17" x14ac:dyDescent="0.2">
      <c r="A16" s="49">
        <v>10</v>
      </c>
      <c r="B16" s="111">
        <v>0</v>
      </c>
      <c r="C16" s="111">
        <v>0</v>
      </c>
      <c r="D16" s="111">
        <v>6.5500000000000003E-2</v>
      </c>
      <c r="E16" s="111">
        <v>5.8999999999999997E-2</v>
      </c>
      <c r="F16" s="111">
        <v>4.4610000000000004E-2</v>
      </c>
      <c r="G16" s="111">
        <v>2.564E-2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17" x14ac:dyDescent="0.2">
      <c r="A17" s="49">
        <v>11</v>
      </c>
      <c r="B17" s="111">
        <v>0</v>
      </c>
      <c r="C17" s="111">
        <v>0</v>
      </c>
      <c r="D17" s="111">
        <v>3.2800000000000003E-2</v>
      </c>
      <c r="E17" s="111">
        <v>5.91E-2</v>
      </c>
      <c r="F17" s="111">
        <v>4.462E-2</v>
      </c>
      <c r="G17" s="111">
        <v>2.564E-2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17" x14ac:dyDescent="0.2">
      <c r="A18" s="49">
        <v>12</v>
      </c>
      <c r="B18" s="111">
        <v>0</v>
      </c>
      <c r="C18" s="111">
        <v>0</v>
      </c>
      <c r="D18" s="111">
        <v>0</v>
      </c>
      <c r="E18" s="111">
        <v>5.8999999999999997E-2</v>
      </c>
      <c r="F18" s="111">
        <v>4.4610000000000004E-2</v>
      </c>
      <c r="G18" s="111">
        <v>2.564E-2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17" x14ac:dyDescent="0.2">
      <c r="A19" s="49">
        <v>13</v>
      </c>
      <c r="B19" s="111">
        <v>0</v>
      </c>
      <c r="C19" s="111">
        <v>0</v>
      </c>
      <c r="D19" s="111">
        <v>0</v>
      </c>
      <c r="E19" s="111">
        <v>5.91E-2</v>
      </c>
      <c r="F19" s="111">
        <v>4.462E-2</v>
      </c>
      <c r="G19" s="111">
        <v>2.564E-2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1:17" x14ac:dyDescent="0.2">
      <c r="A20" s="49">
        <v>14</v>
      </c>
      <c r="B20" s="111">
        <v>0</v>
      </c>
      <c r="C20" s="111">
        <v>0</v>
      </c>
      <c r="D20" s="111">
        <v>0</v>
      </c>
      <c r="E20" s="111">
        <v>5.8999999999999997E-2</v>
      </c>
      <c r="F20" s="111">
        <v>4.4610000000000004E-2</v>
      </c>
      <c r="G20" s="111">
        <v>2.564E-2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spans="1:17" x14ac:dyDescent="0.2">
      <c r="A21" s="49">
        <v>15</v>
      </c>
      <c r="B21" s="111">
        <v>0</v>
      </c>
      <c r="C21" s="111">
        <v>0</v>
      </c>
      <c r="D21" s="111">
        <v>0</v>
      </c>
      <c r="E21" s="111">
        <v>5.91E-2</v>
      </c>
      <c r="F21" s="111">
        <v>4.462E-2</v>
      </c>
      <c r="G21" s="111">
        <v>2.564E-2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1:17" x14ac:dyDescent="0.2">
      <c r="A22" s="49">
        <v>16</v>
      </c>
      <c r="B22" s="111">
        <v>0</v>
      </c>
      <c r="C22" s="111">
        <v>0</v>
      </c>
      <c r="D22" s="111">
        <v>0</v>
      </c>
      <c r="E22" s="111">
        <v>2.9499999999999998E-2</v>
      </c>
      <c r="F22" s="111">
        <v>4.4610000000000004E-2</v>
      </c>
      <c r="G22" s="111">
        <v>2.564E-2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 x14ac:dyDescent="0.2">
      <c r="A23" s="49">
        <v>17</v>
      </c>
      <c r="B23" s="111">
        <v>0</v>
      </c>
      <c r="C23" s="111">
        <v>0</v>
      </c>
      <c r="D23" s="111">
        <v>0</v>
      </c>
      <c r="E23" s="111">
        <v>0</v>
      </c>
      <c r="F23" s="111">
        <v>4.462E-2</v>
      </c>
      <c r="G23" s="111">
        <v>2.564E-2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 x14ac:dyDescent="0.2">
      <c r="A24" s="49">
        <v>18</v>
      </c>
      <c r="B24" s="111">
        <v>0</v>
      </c>
      <c r="C24" s="111">
        <v>0</v>
      </c>
      <c r="D24" s="111">
        <v>0</v>
      </c>
      <c r="E24" s="111">
        <v>0</v>
      </c>
      <c r="F24" s="111">
        <v>4.4610000000000004E-2</v>
      </c>
      <c r="G24" s="111">
        <v>2.564E-2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1:17" x14ac:dyDescent="0.2">
      <c r="A25" s="49">
        <v>19</v>
      </c>
      <c r="B25" s="111">
        <v>0</v>
      </c>
      <c r="C25" s="111">
        <v>0</v>
      </c>
      <c r="D25" s="111">
        <v>0</v>
      </c>
      <c r="E25" s="111">
        <v>0</v>
      </c>
      <c r="F25" s="111">
        <v>4.462E-2</v>
      </c>
      <c r="G25" s="111">
        <v>2.564E-2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x14ac:dyDescent="0.2">
      <c r="A26" s="49">
        <v>20</v>
      </c>
      <c r="B26" s="111">
        <v>0</v>
      </c>
      <c r="C26" s="111">
        <v>0</v>
      </c>
      <c r="D26" s="111">
        <v>0</v>
      </c>
      <c r="E26" s="111">
        <v>0</v>
      </c>
      <c r="F26" s="111">
        <v>4.4610000000000004E-2</v>
      </c>
      <c r="G26" s="111">
        <v>2.564E-2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x14ac:dyDescent="0.2">
      <c r="A27" s="49">
        <v>21</v>
      </c>
      <c r="B27" s="111">
        <v>0</v>
      </c>
      <c r="C27" s="111">
        <v>0</v>
      </c>
      <c r="D27" s="111">
        <v>0</v>
      </c>
      <c r="E27" s="111">
        <v>0</v>
      </c>
      <c r="F27" s="111">
        <v>2.231E-2</v>
      </c>
      <c r="G27" s="111">
        <v>2.564E-2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2">
      <c r="A28" s="49">
        <v>22</v>
      </c>
      <c r="B28" s="111">
        <v>0</v>
      </c>
      <c r="C28" s="111">
        <v>0</v>
      </c>
      <c r="D28" s="111">
        <v>0</v>
      </c>
      <c r="E28" s="111">
        <v>0</v>
      </c>
      <c r="F28" s="111">
        <v>0</v>
      </c>
      <c r="G28" s="111">
        <v>2.564E-2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</row>
    <row r="29" spans="1:17" x14ac:dyDescent="0.2">
      <c r="A29" s="49">
        <v>23</v>
      </c>
      <c r="B29" s="111">
        <v>0</v>
      </c>
      <c r="C29" s="111">
        <v>0</v>
      </c>
      <c r="D29" s="111">
        <v>0</v>
      </c>
      <c r="E29" s="111">
        <v>0</v>
      </c>
      <c r="F29" s="111">
        <v>0</v>
      </c>
      <c r="G29" s="111">
        <v>2.564E-2</v>
      </c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7" x14ac:dyDescent="0.2">
      <c r="A30" s="49">
        <v>24</v>
      </c>
      <c r="B30" s="111">
        <v>0</v>
      </c>
      <c r="C30" s="111">
        <v>0</v>
      </c>
      <c r="D30" s="111">
        <v>0</v>
      </c>
      <c r="E30" s="111">
        <v>0</v>
      </c>
      <c r="F30" s="111">
        <v>0</v>
      </c>
      <c r="G30" s="111">
        <v>2.564E-2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1:17" x14ac:dyDescent="0.2">
      <c r="A31" s="49">
        <v>25</v>
      </c>
      <c r="B31" s="111">
        <v>0</v>
      </c>
      <c r="C31" s="111">
        <v>0</v>
      </c>
      <c r="D31" s="111">
        <v>0</v>
      </c>
      <c r="E31" s="111">
        <v>0</v>
      </c>
      <c r="F31" s="111">
        <v>0</v>
      </c>
      <c r="G31" s="111">
        <v>2.564E-2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1:17" x14ac:dyDescent="0.2">
      <c r="A32" s="49">
        <v>26</v>
      </c>
      <c r="B32" s="111">
        <v>0</v>
      </c>
      <c r="C32" s="111">
        <v>0</v>
      </c>
      <c r="D32" s="111">
        <v>0</v>
      </c>
      <c r="E32" s="111">
        <v>0</v>
      </c>
      <c r="F32" s="111">
        <v>0</v>
      </c>
      <c r="G32" s="111">
        <v>2.564E-2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 x14ac:dyDescent="0.2">
      <c r="A33" s="49">
        <v>27</v>
      </c>
      <c r="B33" s="111">
        <v>0</v>
      </c>
      <c r="C33" s="111">
        <v>0</v>
      </c>
      <c r="D33" s="111">
        <v>0</v>
      </c>
      <c r="E33" s="111">
        <v>0</v>
      </c>
      <c r="F33" s="111">
        <v>0</v>
      </c>
      <c r="G33" s="111">
        <v>2.564E-2</v>
      </c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x14ac:dyDescent="0.2">
      <c r="A34" s="49">
        <v>28</v>
      </c>
      <c r="B34" s="111">
        <v>0</v>
      </c>
      <c r="C34" s="111">
        <v>0</v>
      </c>
      <c r="D34" s="111">
        <v>0</v>
      </c>
      <c r="E34" s="111">
        <v>0</v>
      </c>
      <c r="F34" s="111">
        <v>0</v>
      </c>
      <c r="G34" s="111">
        <v>2.564E-2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1:17" x14ac:dyDescent="0.2">
      <c r="A35" s="49">
        <v>29</v>
      </c>
      <c r="B35" s="111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2.564E-2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 x14ac:dyDescent="0.2">
      <c r="A36" s="49">
        <v>30</v>
      </c>
      <c r="B36" s="111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2.564E-2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 x14ac:dyDescent="0.2">
      <c r="A37" s="49">
        <v>31</v>
      </c>
      <c r="B37" s="111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2.564E-2</v>
      </c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1:17" x14ac:dyDescent="0.2">
      <c r="A38" s="49">
        <v>32</v>
      </c>
      <c r="B38" s="111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2.564E-2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 x14ac:dyDescent="0.2">
      <c r="A39" s="49">
        <v>33</v>
      </c>
      <c r="B39" s="111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2.564E-2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1:17" x14ac:dyDescent="0.2">
      <c r="A40" s="49">
        <v>34</v>
      </c>
      <c r="B40" s="111">
        <v>0</v>
      </c>
      <c r="C40" s="111">
        <v>0</v>
      </c>
      <c r="D40" s="111">
        <v>0</v>
      </c>
      <c r="E40" s="111">
        <v>0</v>
      </c>
      <c r="F40" s="111">
        <v>0</v>
      </c>
      <c r="G40" s="111">
        <v>2.564E-2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</row>
    <row r="41" spans="1:17" x14ac:dyDescent="0.2">
      <c r="A41" s="49">
        <v>35</v>
      </c>
      <c r="B41" s="111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2.564E-2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 x14ac:dyDescent="0.2">
      <c r="A42" s="49">
        <v>36</v>
      </c>
      <c r="B42" s="111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2.564E-2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</row>
    <row r="43" spans="1:17" x14ac:dyDescent="0.2">
      <c r="A43" s="49">
        <v>37</v>
      </c>
      <c r="B43" s="111">
        <v>0</v>
      </c>
      <c r="C43" s="111">
        <v>0</v>
      </c>
      <c r="D43" s="111">
        <v>0</v>
      </c>
      <c r="E43" s="111">
        <v>0</v>
      </c>
      <c r="F43" s="111">
        <v>0</v>
      </c>
      <c r="G43" s="111">
        <v>2.564E-2</v>
      </c>
      <c r="H43" s="58"/>
      <c r="I43" s="58"/>
      <c r="J43" s="58"/>
      <c r="K43" s="58"/>
      <c r="L43" s="58"/>
      <c r="M43" s="58"/>
      <c r="N43" s="58"/>
      <c r="O43" s="58"/>
      <c r="P43" s="58"/>
      <c r="Q43" s="58"/>
    </row>
    <row r="44" spans="1:17" x14ac:dyDescent="0.2">
      <c r="A44" s="49">
        <v>38</v>
      </c>
      <c r="B44" s="111">
        <v>0</v>
      </c>
      <c r="C44" s="111">
        <v>0</v>
      </c>
      <c r="D44" s="111">
        <v>0</v>
      </c>
      <c r="E44" s="111">
        <v>0</v>
      </c>
      <c r="F44" s="111">
        <v>0</v>
      </c>
      <c r="G44" s="111">
        <v>2.564E-2</v>
      </c>
      <c r="H44" s="58"/>
      <c r="I44" s="58"/>
      <c r="J44" s="58"/>
      <c r="K44" s="58"/>
      <c r="L44" s="58"/>
      <c r="M44" s="58"/>
      <c r="N44" s="58"/>
      <c r="O44" s="58"/>
      <c r="P44" s="58"/>
      <c r="Q44" s="58"/>
    </row>
    <row r="45" spans="1:17" x14ac:dyDescent="0.2">
      <c r="A45" s="49">
        <v>39</v>
      </c>
      <c r="B45" s="111">
        <v>0</v>
      </c>
      <c r="C45" s="111">
        <v>0</v>
      </c>
      <c r="D45" s="111">
        <v>0</v>
      </c>
      <c r="E45" s="111">
        <v>0</v>
      </c>
      <c r="F45" s="111">
        <v>0</v>
      </c>
      <c r="G45" s="111">
        <v>2.564E-2</v>
      </c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 x14ac:dyDescent="0.2">
      <c r="A46" s="49">
        <v>40</v>
      </c>
      <c r="B46" s="111">
        <v>0</v>
      </c>
      <c r="C46" s="111">
        <v>0</v>
      </c>
      <c r="D46" s="111">
        <v>0</v>
      </c>
      <c r="E46" s="111">
        <v>0</v>
      </c>
      <c r="F46" s="111">
        <v>0</v>
      </c>
      <c r="G46" s="111">
        <v>1.2840000000000001E-2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</row>
    <row r="47" spans="1:17" x14ac:dyDescent="0.2">
      <c r="B47" s="111"/>
      <c r="C47" s="111"/>
      <c r="D47" s="111"/>
      <c r="E47" s="111"/>
      <c r="F47" s="111"/>
      <c r="G47" s="111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x14ac:dyDescent="0.2">
      <c r="B48" s="111"/>
      <c r="C48" s="111"/>
      <c r="D48" s="111"/>
      <c r="E48" s="111"/>
      <c r="F48" s="111"/>
      <c r="G48" s="111"/>
      <c r="H48" s="58"/>
      <c r="I48" s="58"/>
      <c r="J48" s="58"/>
      <c r="K48" s="58"/>
      <c r="L48" s="58"/>
      <c r="M48" s="58"/>
      <c r="N48" s="58"/>
      <c r="O48" s="58"/>
      <c r="P48" s="58"/>
      <c r="Q48" s="58"/>
    </row>
    <row r="49" spans="2:17" x14ac:dyDescent="0.2">
      <c r="B49" s="111"/>
      <c r="C49" s="111"/>
      <c r="D49" s="111"/>
      <c r="E49" s="111"/>
      <c r="F49" s="111"/>
      <c r="G49" s="111"/>
      <c r="H49" s="58"/>
      <c r="I49" s="58"/>
      <c r="J49" s="58"/>
      <c r="K49" s="58"/>
      <c r="L49" s="58"/>
      <c r="M49" s="58"/>
      <c r="N49" s="58"/>
      <c r="O49" s="58"/>
      <c r="P49" s="58"/>
      <c r="Q49" s="58"/>
    </row>
    <row r="50" spans="2:17" x14ac:dyDescent="0.2">
      <c r="B50" s="111"/>
      <c r="C50" s="111"/>
      <c r="D50" s="111"/>
      <c r="E50" s="111"/>
      <c r="F50" s="111"/>
      <c r="G50" s="111"/>
      <c r="H50" s="58"/>
      <c r="I50" s="58"/>
      <c r="J50" s="58"/>
      <c r="K50" s="58"/>
      <c r="L50" s="58"/>
      <c r="M50" s="58"/>
      <c r="N50" s="58"/>
      <c r="O50" s="58"/>
      <c r="P50" s="58"/>
      <c r="Q50" s="58"/>
    </row>
    <row r="51" spans="2:17" x14ac:dyDescent="0.2">
      <c r="B51" s="111"/>
      <c r="C51" s="111"/>
      <c r="D51" s="111"/>
      <c r="E51" s="111"/>
      <c r="F51" s="111"/>
      <c r="G51" s="111"/>
      <c r="H51" s="58"/>
      <c r="I51" s="58"/>
      <c r="J51" s="58"/>
      <c r="K51" s="58"/>
      <c r="L51" s="58"/>
      <c r="M51" s="58"/>
      <c r="N51" s="58"/>
      <c r="O51" s="58"/>
      <c r="P51" s="58"/>
      <c r="Q51" s="58"/>
    </row>
    <row r="52" spans="2:17" x14ac:dyDescent="0.2">
      <c r="B52" s="111"/>
      <c r="C52" s="111"/>
      <c r="D52" s="111"/>
      <c r="E52" s="111"/>
      <c r="F52" s="111"/>
      <c r="G52" s="111"/>
      <c r="H52" s="58"/>
      <c r="I52" s="58"/>
      <c r="J52" s="58"/>
      <c r="K52" s="58"/>
      <c r="L52" s="58"/>
      <c r="M52" s="58"/>
      <c r="N52" s="58"/>
      <c r="O52" s="58"/>
      <c r="P52" s="58"/>
      <c r="Q52" s="58"/>
    </row>
    <row r="53" spans="2:17" x14ac:dyDescent="0.2">
      <c r="B53" s="111"/>
      <c r="C53" s="111"/>
      <c r="D53" s="111"/>
      <c r="E53" s="111"/>
      <c r="F53" s="111"/>
      <c r="G53" s="111"/>
      <c r="H53" s="58"/>
      <c r="I53" s="58"/>
      <c r="J53" s="58"/>
      <c r="K53" s="58"/>
      <c r="L53" s="58"/>
      <c r="M53" s="58"/>
      <c r="N53" s="58"/>
      <c r="O53" s="58"/>
      <c r="P53" s="58"/>
      <c r="Q53" s="58"/>
    </row>
    <row r="54" spans="2:17" x14ac:dyDescent="0.2">
      <c r="B54" s="111"/>
      <c r="C54" s="111"/>
      <c r="D54" s="111"/>
      <c r="E54" s="111"/>
      <c r="F54" s="111"/>
      <c r="G54" s="111"/>
      <c r="H54" s="58"/>
      <c r="I54" s="58"/>
      <c r="J54" s="58"/>
      <c r="K54" s="58"/>
      <c r="L54" s="58"/>
      <c r="M54" s="58"/>
      <c r="N54" s="58"/>
      <c r="O54" s="58"/>
      <c r="P54" s="58"/>
      <c r="Q54" s="58"/>
    </row>
    <row r="55" spans="2:17" x14ac:dyDescent="0.2">
      <c r="B55" s="111"/>
      <c r="C55" s="111"/>
      <c r="D55" s="111"/>
      <c r="E55" s="111"/>
      <c r="F55" s="111"/>
      <c r="G55" s="111"/>
      <c r="H55" s="58"/>
      <c r="I55" s="58"/>
      <c r="J55" s="58"/>
      <c r="K55" s="58"/>
      <c r="L55" s="58"/>
      <c r="M55" s="58"/>
      <c r="N55" s="58"/>
      <c r="O55" s="58"/>
      <c r="P55" s="58"/>
      <c r="Q55" s="58"/>
    </row>
    <row r="56" spans="2:17" x14ac:dyDescent="0.2">
      <c r="B56" s="111"/>
      <c r="C56" s="111"/>
      <c r="D56" s="111"/>
      <c r="E56" s="111"/>
      <c r="F56" s="111"/>
      <c r="G56" s="111"/>
      <c r="H56" s="58"/>
      <c r="I56" s="58"/>
      <c r="J56" s="58"/>
      <c r="K56" s="58"/>
      <c r="L56" s="58"/>
      <c r="M56" s="58"/>
      <c r="N56" s="58"/>
      <c r="O56" s="58"/>
      <c r="P56" s="58"/>
      <c r="Q56" s="58"/>
    </row>
    <row r="57" spans="2:17" x14ac:dyDescent="0.2">
      <c r="B57" s="111"/>
      <c r="C57" s="111"/>
      <c r="D57" s="111"/>
      <c r="E57" s="111"/>
      <c r="F57" s="111"/>
      <c r="G57" s="111"/>
      <c r="H57" s="58"/>
      <c r="I57" s="58"/>
      <c r="J57" s="58"/>
      <c r="K57" s="58"/>
      <c r="L57" s="58"/>
      <c r="M57" s="58"/>
      <c r="N57" s="58"/>
      <c r="O57" s="58"/>
      <c r="P57" s="58"/>
      <c r="Q57" s="58"/>
    </row>
    <row r="58" spans="2:17" x14ac:dyDescent="0.2">
      <c r="B58" s="111"/>
      <c r="C58" s="111"/>
      <c r="D58" s="111"/>
      <c r="E58" s="111"/>
      <c r="F58" s="111"/>
      <c r="G58" s="111"/>
      <c r="H58" s="58"/>
      <c r="I58" s="58"/>
      <c r="J58" s="58"/>
      <c r="K58" s="58"/>
      <c r="L58" s="58"/>
      <c r="M58" s="58"/>
      <c r="N58" s="58"/>
      <c r="O58" s="58"/>
      <c r="P58" s="58"/>
      <c r="Q58" s="58"/>
    </row>
    <row r="59" spans="2:17" x14ac:dyDescent="0.2">
      <c r="B59" s="111"/>
      <c r="C59" s="111"/>
      <c r="D59" s="111"/>
      <c r="E59" s="111"/>
      <c r="F59" s="111"/>
      <c r="G59" s="111"/>
      <c r="H59" s="58"/>
      <c r="I59" s="58"/>
      <c r="J59" s="58"/>
      <c r="K59" s="58"/>
      <c r="L59" s="58"/>
      <c r="M59" s="58"/>
      <c r="N59" s="58"/>
      <c r="O59" s="58"/>
      <c r="P59" s="58"/>
      <c r="Q59" s="58"/>
    </row>
    <row r="60" spans="2:17" x14ac:dyDescent="0.2"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</row>
    <row r="61" spans="2:17" x14ac:dyDescent="0.2"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</row>
    <row r="62" spans="2:17" x14ac:dyDescent="0.2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  <row r="63" spans="2:17" x14ac:dyDescent="0.2"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</row>
    <row r="64" spans="2:17" x14ac:dyDescent="0.2"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</row>
    <row r="65" spans="2:17" x14ac:dyDescent="0.2"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6" spans="2:17" x14ac:dyDescent="0.2"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</row>
    <row r="67" spans="2:17" x14ac:dyDescent="0.2"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</row>
    <row r="68" spans="2:17" x14ac:dyDescent="0.2"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</row>
    <row r="69" spans="2:17" x14ac:dyDescent="0.2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2:17" x14ac:dyDescent="0.2"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</row>
    <row r="71" spans="2:17" x14ac:dyDescent="0.2"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</row>
    <row r="72" spans="2:17" x14ac:dyDescent="0.2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</row>
    <row r="73" spans="2:17" x14ac:dyDescent="0.2"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</row>
    <row r="74" spans="2:17" x14ac:dyDescent="0.2"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</row>
    <row r="75" spans="2:17" x14ac:dyDescent="0.2"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</row>
    <row r="76" spans="2:17" x14ac:dyDescent="0.2"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</row>
    <row r="77" spans="2:17" x14ac:dyDescent="0.2"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</row>
    <row r="78" spans="2:17" x14ac:dyDescent="0.2"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</row>
    <row r="79" spans="2:17" x14ac:dyDescent="0.2"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</row>
    <row r="80" spans="2:17" x14ac:dyDescent="0.2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</row>
    <row r="81" spans="2:17" x14ac:dyDescent="0.2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</row>
    <row r="82" spans="2:17" x14ac:dyDescent="0.2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</row>
    <row r="83" spans="2:17" x14ac:dyDescent="0.2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</row>
    <row r="84" spans="2:17" x14ac:dyDescent="0.2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</row>
    <row r="85" spans="2:17" x14ac:dyDescent="0.2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</row>
    <row r="86" spans="2:17" x14ac:dyDescent="0.2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</row>
    <row r="87" spans="2:17" x14ac:dyDescent="0.2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</row>
    <row r="88" spans="2:17" x14ac:dyDescent="0.2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</row>
    <row r="89" spans="2:17" x14ac:dyDescent="0.2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</row>
    <row r="90" spans="2:17" x14ac:dyDescent="0.2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</row>
  </sheetData>
  <pageMargins left="0.7" right="0.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EDCA-E323-4A91-8DB9-23A65FDE2C71}">
  <dimension ref="A1:F60"/>
  <sheetViews>
    <sheetView showGridLines="0" workbookViewId="0"/>
  </sheetViews>
  <sheetFormatPr defaultColWidth="8" defaultRowHeight="12.75" x14ac:dyDescent="0.2"/>
  <cols>
    <col min="1" max="1" width="18.75" style="105" customWidth="1"/>
    <col min="2" max="2" width="14.875" style="105" customWidth="1"/>
    <col min="3" max="3" width="15" style="105" customWidth="1"/>
    <col min="4" max="4" width="9.125" style="105" customWidth="1"/>
    <col min="5" max="5" width="11.875" style="105" customWidth="1"/>
    <col min="6" max="16384" width="8" style="105"/>
  </cols>
  <sheetData>
    <row r="1" spans="1:5" x14ac:dyDescent="0.2">
      <c r="A1" s="113" t="s">
        <v>13</v>
      </c>
      <c r="B1" s="114"/>
      <c r="C1" s="114"/>
      <c r="D1" s="115"/>
      <c r="E1" s="114"/>
    </row>
    <row r="2" spans="1:5" x14ac:dyDescent="0.2">
      <c r="A2" s="113" t="s">
        <v>102</v>
      </c>
      <c r="B2" s="114"/>
      <c r="C2" s="114"/>
      <c r="D2" s="115"/>
      <c r="E2" s="114"/>
    </row>
    <row r="3" spans="1:5" x14ac:dyDescent="0.2">
      <c r="A3" s="113" t="s">
        <v>41</v>
      </c>
      <c r="B3" s="113"/>
      <c r="C3" s="113"/>
      <c r="D3" s="115"/>
    </row>
    <row r="4" spans="1:5" x14ac:dyDescent="0.2">
      <c r="A4" s="116" t="s">
        <v>103</v>
      </c>
      <c r="B4" s="114"/>
      <c r="C4" s="114"/>
      <c r="D4" s="115"/>
      <c r="E4" s="114"/>
    </row>
    <row r="5" spans="1:5" x14ac:dyDescent="0.2">
      <c r="D5" s="115"/>
    </row>
    <row r="8" spans="1:5" x14ac:dyDescent="0.2">
      <c r="A8" s="117" t="s">
        <v>104</v>
      </c>
    </row>
    <row r="9" spans="1:5" x14ac:dyDescent="0.2">
      <c r="A9" s="105" t="s">
        <v>105</v>
      </c>
      <c r="C9" s="118">
        <v>1.234952415815836</v>
      </c>
    </row>
    <row r="10" spans="1:5" x14ac:dyDescent="0.2">
      <c r="A10" s="105" t="s">
        <v>106</v>
      </c>
      <c r="C10" s="118">
        <v>7.5287982168660297E-2</v>
      </c>
    </row>
    <row r="12" spans="1:5" ht="13.5" thickBot="1" x14ac:dyDescent="0.25">
      <c r="A12" s="119" t="s">
        <v>107</v>
      </c>
      <c r="B12" s="120"/>
      <c r="C12" s="121">
        <f>+ROUND(C9*C10,5)</f>
        <v>9.2979999999999993E-2</v>
      </c>
    </row>
    <row r="13" spans="1:5" ht="13.5" thickTop="1" x14ac:dyDescent="0.2">
      <c r="A13" s="119"/>
      <c r="B13" s="120"/>
      <c r="C13" s="120"/>
    </row>
    <row r="31" spans="1:1" x14ac:dyDescent="0.2">
      <c r="A31" s="122" t="s">
        <v>108</v>
      </c>
    </row>
    <row r="32" spans="1:1" x14ac:dyDescent="0.2">
      <c r="A32" s="122" t="s">
        <v>109</v>
      </c>
    </row>
    <row r="33" spans="1:6" x14ac:dyDescent="0.2">
      <c r="A33" s="122" t="s">
        <v>110</v>
      </c>
    </row>
    <row r="37" spans="1:6" x14ac:dyDescent="0.2">
      <c r="D37" s="120"/>
      <c r="E37" s="123"/>
    </row>
    <row r="38" spans="1:6" x14ac:dyDescent="0.2">
      <c r="F38" s="124"/>
    </row>
    <row r="39" spans="1:6" x14ac:dyDescent="0.2">
      <c r="D39" s="120"/>
      <c r="E39" s="125"/>
      <c r="F39" s="124"/>
    </row>
    <row r="40" spans="1:6" x14ac:dyDescent="0.2">
      <c r="A40" s="126"/>
      <c r="B40" s="127"/>
      <c r="C40" s="128"/>
      <c r="D40" s="129"/>
      <c r="E40" s="127"/>
      <c r="F40" s="130"/>
    </row>
    <row r="41" spans="1:6" x14ac:dyDescent="0.2">
      <c r="A41" s="129"/>
      <c r="B41" s="129"/>
      <c r="C41" s="129"/>
      <c r="D41" s="129"/>
      <c r="E41" s="129"/>
      <c r="F41" s="129"/>
    </row>
    <row r="42" spans="1:6" x14ac:dyDescent="0.2">
      <c r="B42" s="129"/>
      <c r="D42" s="129"/>
      <c r="F42" s="129"/>
    </row>
    <row r="53" spans="1:6" x14ac:dyDescent="0.2">
      <c r="A53" s="131" t="s">
        <v>111</v>
      </c>
    </row>
    <row r="54" spans="1:6" x14ac:dyDescent="0.2">
      <c r="A54" s="105" t="s">
        <v>112</v>
      </c>
      <c r="F54" s="105" t="s">
        <v>113</v>
      </c>
    </row>
    <row r="55" spans="1:6" x14ac:dyDescent="0.2">
      <c r="A55" s="105" t="s">
        <v>114</v>
      </c>
    </row>
    <row r="56" spans="1:6" x14ac:dyDescent="0.2">
      <c r="A56" s="105" t="s">
        <v>115</v>
      </c>
    </row>
    <row r="58" spans="1:6" x14ac:dyDescent="0.2">
      <c r="A58" s="132">
        <v>7.0319999999999994E-2</v>
      </c>
      <c r="B58" s="132">
        <v>1.0703199999999999</v>
      </c>
      <c r="C58" s="132">
        <v>15.154640176368206</v>
      </c>
      <c r="D58" s="132">
        <f>+C58*A58</f>
        <v>1.0656742972022122</v>
      </c>
    </row>
    <row r="59" spans="1:6" x14ac:dyDescent="0.2">
      <c r="A59" s="133">
        <f>+A58+1</f>
        <v>1.0703199999999999</v>
      </c>
      <c r="B59" s="132">
        <v>15.154640176368206</v>
      </c>
      <c r="C59" s="132"/>
      <c r="D59" s="132">
        <f>+B59-1</f>
        <v>14.154640176368206</v>
      </c>
    </row>
    <row r="60" spans="1:6" x14ac:dyDescent="0.2">
      <c r="A60" s="132"/>
      <c r="B60" s="132"/>
      <c r="C60" s="132"/>
      <c r="D60" s="132">
        <f>+D58/D59</f>
        <v>7.5287982168660297E-2</v>
      </c>
    </row>
  </sheetData>
  <printOptions horizontalCentered="1"/>
  <pageMargins left="0.17" right="0.17" top="1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BACD-1BB4-4799-9251-5E0EB03A7976}">
  <dimension ref="A1:U77"/>
  <sheetViews>
    <sheetView view="pageLayout" zoomScaleNormal="100" workbookViewId="0">
      <selection activeCell="B22" sqref="B22"/>
    </sheetView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62.14287499988</v>
      </c>
      <c r="D3" s="199">
        <v>76.981907487091803</v>
      </c>
      <c r="E3" s="200">
        <v>1</v>
      </c>
      <c r="F3" s="201">
        <v>653.66740561296001</v>
      </c>
      <c r="G3" s="200">
        <v>10518.7828148315</v>
      </c>
      <c r="H3" s="200">
        <v>672</v>
      </c>
      <c r="I3" s="202">
        <v>1.8272425480955501</v>
      </c>
      <c r="J3" s="202">
        <v>1194.4088958392299</v>
      </c>
      <c r="K3" s="202">
        <v>0</v>
      </c>
      <c r="L3" s="202">
        <v>230.76733908223</v>
      </c>
      <c r="M3" s="202">
        <v>284.76786040069999</v>
      </c>
      <c r="N3" s="202">
        <v>23.802837513436401</v>
      </c>
      <c r="O3" s="202">
        <f>IF(C3=0,0,IF(P3/C3&gt;9999,TEXT(P3/C3,"0.00E+00"),P3/C3))</f>
        <v>27.516333856865515</v>
      </c>
      <c r="P3" s="202">
        <f>SUM(J3:M3)</f>
        <v>1709.9440953221597</v>
      </c>
    </row>
    <row r="4" spans="1:16" s="196" customFormat="1" x14ac:dyDescent="0.25">
      <c r="A4" s="196">
        <v>2</v>
      </c>
      <c r="B4" s="196" t="s">
        <v>188</v>
      </c>
      <c r="C4" s="198">
        <v>67.4315</v>
      </c>
      <c r="D4" s="199">
        <v>84.625337590233201</v>
      </c>
      <c r="E4" s="200">
        <v>1</v>
      </c>
      <c r="F4" s="201">
        <v>764.42678108373002</v>
      </c>
      <c r="G4" s="200">
        <v>11336.3454925922</v>
      </c>
      <c r="H4" s="200">
        <v>672</v>
      </c>
      <c r="I4" s="202">
        <v>1.9829949665495501</v>
      </c>
      <c r="J4" s="202">
        <v>1515.8544591847101</v>
      </c>
      <c r="K4" s="202">
        <v>0</v>
      </c>
      <c r="L4" s="202">
        <v>339.29075189577998</v>
      </c>
      <c r="M4" s="202">
        <v>245.17419085</v>
      </c>
      <c r="N4" s="202">
        <v>26.115816050877001</v>
      </c>
      <c r="O4" s="202">
        <f t="shared" ref="O4:O28" si="0">IF(C4=0,0,IF(P4/C4&gt;9999,TEXT(P4/C4,"0.00E+00"),P4/C4))</f>
        <v>31.14745188718166</v>
      </c>
      <c r="P4" s="202">
        <f t="shared" ref="P4:P27" si="1">SUM(J4:M4)</f>
        <v>2100.3194019304901</v>
      </c>
    </row>
    <row r="5" spans="1:16" s="196" customFormat="1" x14ac:dyDescent="0.25">
      <c r="A5" s="196">
        <v>3</v>
      </c>
      <c r="B5" s="197" t="s">
        <v>189</v>
      </c>
      <c r="C5" s="198">
        <v>5.2080000000000002</v>
      </c>
      <c r="D5" s="199">
        <v>26.819923371647501</v>
      </c>
      <c r="E5" s="200">
        <v>0</v>
      </c>
      <c r="F5" s="201">
        <v>107.48930058114</v>
      </c>
      <c r="G5" s="200">
        <v>20639.266624642802</v>
      </c>
      <c r="H5" s="200">
        <v>744</v>
      </c>
      <c r="I5" s="202">
        <v>3.0675303446051401</v>
      </c>
      <c r="J5" s="202">
        <v>329.72669125303003</v>
      </c>
      <c r="K5" s="202">
        <v>0</v>
      </c>
      <c r="L5" s="202">
        <v>196.38834307409999</v>
      </c>
      <c r="M5" s="202">
        <v>31.686565680000001</v>
      </c>
      <c r="N5" s="202">
        <v>69.395786661488103</v>
      </c>
      <c r="O5" s="202">
        <f t="shared" si="0"/>
        <v>107.10476190613095</v>
      </c>
      <c r="P5" s="202">
        <f t="shared" si="1"/>
        <v>557.80160000712999</v>
      </c>
    </row>
    <row r="6" spans="1:16" s="196" customFormat="1" x14ac:dyDescent="0.25">
      <c r="A6" s="196">
        <v>4</v>
      </c>
      <c r="B6" s="197" t="s">
        <v>190</v>
      </c>
      <c r="C6" s="198">
        <v>37.200000000000003</v>
      </c>
      <c r="D6" s="199">
        <v>66.755674232309801</v>
      </c>
      <c r="E6" s="200">
        <v>0</v>
      </c>
      <c r="F6" s="201">
        <v>479.92833193786998</v>
      </c>
      <c r="G6" s="200">
        <v>12901.2992456417</v>
      </c>
      <c r="H6" s="200">
        <v>744</v>
      </c>
      <c r="I6" s="202">
        <v>3.07198194011522</v>
      </c>
      <c r="J6" s="202">
        <v>1474.33116826276</v>
      </c>
      <c r="K6" s="202">
        <v>0</v>
      </c>
      <c r="L6" s="202">
        <v>357.26585474517998</v>
      </c>
      <c r="M6" s="202">
        <v>268.13536800000003</v>
      </c>
      <c r="N6" s="202">
        <v>46.840498286633299</v>
      </c>
      <c r="O6" s="202">
        <f t="shared" si="0"/>
        <v>56.444419113116659</v>
      </c>
      <c r="P6" s="202">
        <f t="shared" si="1"/>
        <v>2099.7323910079399</v>
      </c>
    </row>
    <row r="7" spans="1:16" s="196" customFormat="1" x14ac:dyDescent="0.25">
      <c r="A7" s="196">
        <v>5</v>
      </c>
      <c r="B7" s="197" t="s">
        <v>191</v>
      </c>
      <c r="C7" s="198">
        <v>25.295999999999999</v>
      </c>
      <c r="D7" s="199">
        <v>72.340425531914903</v>
      </c>
      <c r="E7" s="200">
        <v>0</v>
      </c>
      <c r="F7" s="201">
        <v>335.19729600031002</v>
      </c>
      <c r="G7" s="200">
        <v>13251.0000000123</v>
      </c>
      <c r="H7" s="200">
        <v>744</v>
      </c>
      <c r="I7" s="202">
        <v>2.0139689567121</v>
      </c>
      <c r="J7" s="202">
        <v>675.07694851845997</v>
      </c>
      <c r="K7" s="202">
        <v>0</v>
      </c>
      <c r="L7" s="202">
        <v>377.62797441084001</v>
      </c>
      <c r="M7" s="202">
        <v>229.49138303999999</v>
      </c>
      <c r="N7" s="202">
        <v>35.759342645416702</v>
      </c>
      <c r="O7" s="202">
        <f t="shared" si="0"/>
        <v>50.687709755269609</v>
      </c>
      <c r="P7" s="202">
        <f t="shared" si="1"/>
        <v>1282.1963059693001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26.830516561749999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26.830516561749999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225.62567305210999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225.62567305210999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52.990345660240003</v>
      </c>
      <c r="M14" s="202">
        <v>0</v>
      </c>
      <c r="N14" s="202">
        <v>0</v>
      </c>
      <c r="O14" s="202">
        <f t="shared" si="0"/>
        <v>0</v>
      </c>
      <c r="P14" s="202">
        <f t="shared" si="1"/>
        <v>52.990345660240003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15.80235820271</v>
      </c>
      <c r="M15" s="202">
        <v>0</v>
      </c>
      <c r="N15" s="202">
        <v>0</v>
      </c>
      <c r="O15" s="202">
        <f t="shared" si="0"/>
        <v>0</v>
      </c>
      <c r="P15" s="202">
        <f t="shared" si="1"/>
        <v>15.80235820271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0.93682191781000002</v>
      </c>
      <c r="M16" s="202">
        <v>0</v>
      </c>
      <c r="N16" s="202">
        <v>0</v>
      </c>
      <c r="O16" s="202">
        <f t="shared" si="0"/>
        <v>0</v>
      </c>
      <c r="P16" s="202">
        <f t="shared" si="1"/>
        <v>0.93682191781000002</v>
      </c>
    </row>
    <row r="17" spans="1:16" s="196" customFormat="1" x14ac:dyDescent="0.25">
      <c r="A17" s="196">
        <v>15</v>
      </c>
      <c r="B17" s="197" t="s">
        <v>201</v>
      </c>
      <c r="C17" s="198">
        <v>1.3203779999</v>
      </c>
      <c r="D17" s="196">
        <v>86.570810378966698</v>
      </c>
      <c r="E17" s="196">
        <v>0</v>
      </c>
      <c r="F17" s="196">
        <v>1.3203780018</v>
      </c>
      <c r="G17" s="196">
        <v>1000.00000143898</v>
      </c>
      <c r="H17" s="196">
        <v>744</v>
      </c>
      <c r="I17" s="196">
        <v>33.25</v>
      </c>
      <c r="J17" s="202">
        <v>43.902568559850003</v>
      </c>
      <c r="K17" s="202">
        <v>0</v>
      </c>
      <c r="L17" s="202">
        <v>0</v>
      </c>
      <c r="M17" s="202">
        <v>0</v>
      </c>
      <c r="N17" s="202">
        <v>33.2500000478461</v>
      </c>
      <c r="O17" s="202">
        <f t="shared" si="0"/>
        <v>33.25000004784615</v>
      </c>
      <c r="P17" s="202">
        <f t="shared" si="1"/>
        <v>43.902568559850003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s="196" customFormat="1" x14ac:dyDescent="0.25">
      <c r="A20" s="196">
        <v>18</v>
      </c>
      <c r="B20" s="197" t="s">
        <v>204</v>
      </c>
      <c r="C20" s="198">
        <v>-4.7647671902599997</v>
      </c>
      <c r="D20" s="199">
        <v>0.64042569761559198</v>
      </c>
      <c r="E20" s="200"/>
      <c r="F20" s="201"/>
      <c r="G20" s="200"/>
      <c r="H20" s="200"/>
      <c r="I20" s="202"/>
      <c r="J20" s="202">
        <v>-144.61068422456</v>
      </c>
      <c r="K20" s="202"/>
      <c r="L20" s="202"/>
      <c r="M20" s="202"/>
      <c r="N20" s="202"/>
      <c r="O20" s="202">
        <f t="shared" si="0"/>
        <v>30.350000000035472</v>
      </c>
      <c r="P20" s="202">
        <f t="shared" si="1"/>
        <v>-144.61068422456</v>
      </c>
    </row>
    <row r="21" spans="1:16" s="196" customFormat="1" x14ac:dyDescent="0.25">
      <c r="A21" s="196">
        <v>19</v>
      </c>
      <c r="B21" s="197" t="s">
        <v>205</v>
      </c>
      <c r="C21" s="198">
        <v>52.742910290440001</v>
      </c>
      <c r="D21" s="196">
        <v>28.356403381957001</v>
      </c>
      <c r="E21" s="196">
        <v>1</v>
      </c>
      <c r="F21" s="196">
        <v>52.742910289000001</v>
      </c>
      <c r="G21" s="196">
        <v>999.99999997269697</v>
      </c>
      <c r="H21" s="196">
        <v>599</v>
      </c>
      <c r="I21" s="196">
        <v>30.35</v>
      </c>
      <c r="J21" s="202">
        <v>1600.74732727115</v>
      </c>
      <c r="K21" s="202">
        <v>0</v>
      </c>
      <c r="L21" s="202">
        <v>0</v>
      </c>
      <c r="M21" s="202">
        <v>0</v>
      </c>
      <c r="N21" s="202">
        <v>30.349999999171398</v>
      </c>
      <c r="O21" s="202">
        <f t="shared" si="0"/>
        <v>30.349999999171377</v>
      </c>
      <c r="P21" s="202">
        <f t="shared" si="1"/>
        <v>1600.74732727115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10.82876712319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10.191780821989999</v>
      </c>
      <c r="M23" s="202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s="196" customFormat="1" x14ac:dyDescent="0.25">
      <c r="A24" s="196">
        <v>22</v>
      </c>
      <c r="B24" s="197" t="s">
        <v>208</v>
      </c>
      <c r="C24" s="198">
        <v>4.6995949000000001</v>
      </c>
      <c r="D24" s="196">
        <v>32.178603218685403</v>
      </c>
      <c r="E24" s="196">
        <v>130</v>
      </c>
      <c r="F24" s="196">
        <v>0</v>
      </c>
      <c r="G24" s="196">
        <v>0</v>
      </c>
      <c r="H24" s="196">
        <v>683</v>
      </c>
      <c r="I24" s="196">
        <v>0</v>
      </c>
      <c r="J24" s="202">
        <v>0</v>
      </c>
      <c r="K24" s="202">
        <v>0</v>
      </c>
      <c r="L24" s="202">
        <v>35.967207330119997</v>
      </c>
      <c r="M24" s="202">
        <v>0</v>
      </c>
      <c r="N24" s="202">
        <v>0</v>
      </c>
      <c r="O24" s="202">
        <f t="shared" si="0"/>
        <v>7.6532569498958294</v>
      </c>
      <c r="P24" s="202">
        <f t="shared" si="1"/>
        <v>35.967207330119997</v>
      </c>
    </row>
    <row r="25" spans="1:16" x14ac:dyDescent="0.25">
      <c r="A25" s="196">
        <v>23</v>
      </c>
      <c r="B25" s="197" t="s">
        <v>209</v>
      </c>
      <c r="C25" s="198">
        <v>9.0286000000000008</v>
      </c>
      <c r="D25" s="196">
        <v>40.182831303852502</v>
      </c>
      <c r="E25" s="196">
        <v>160</v>
      </c>
      <c r="F25" s="196">
        <v>0</v>
      </c>
      <c r="G25" s="196">
        <v>0</v>
      </c>
      <c r="H25" s="196">
        <v>679</v>
      </c>
      <c r="I25" s="196">
        <v>0</v>
      </c>
      <c r="J25" s="203">
        <v>0</v>
      </c>
      <c r="K25" s="203">
        <v>0</v>
      </c>
      <c r="L25" s="203">
        <v>52.166551660240003</v>
      </c>
      <c r="M25" s="203">
        <v>0</v>
      </c>
      <c r="N25" s="202">
        <v>0</v>
      </c>
      <c r="O25" s="202">
        <f t="shared" si="0"/>
        <v>5.777922563879228</v>
      </c>
      <c r="P25" s="202">
        <f t="shared" si="1"/>
        <v>52.166551660240003</v>
      </c>
    </row>
    <row r="26" spans="1:16" x14ac:dyDescent="0.25">
      <c r="A26" s="196">
        <v>24</v>
      </c>
      <c r="B26" s="197" t="s">
        <v>210</v>
      </c>
      <c r="C26" s="198">
        <v>3.1248</v>
      </c>
      <c r="D26" s="196">
        <v>87.500000000000099</v>
      </c>
      <c r="E26" s="196">
        <v>0</v>
      </c>
      <c r="F26" s="196">
        <v>3.1248</v>
      </c>
      <c r="G26" s="196">
        <v>1000</v>
      </c>
      <c r="H26" s="196">
        <v>744</v>
      </c>
      <c r="I26" s="196">
        <v>7.77</v>
      </c>
      <c r="J26" s="203">
        <v>24.279696000000001</v>
      </c>
      <c r="K26" s="203">
        <v>0</v>
      </c>
      <c r="L26" s="203">
        <v>48.703520087649999</v>
      </c>
      <c r="M26" s="203">
        <v>0</v>
      </c>
      <c r="N26" s="202">
        <v>7.77</v>
      </c>
      <c r="O26" s="202">
        <f t="shared" si="0"/>
        <v>23.356123939980158</v>
      </c>
      <c r="P26" s="202">
        <f t="shared" si="1"/>
        <v>72.983216087649993</v>
      </c>
    </row>
    <row r="27" spans="1:16" s="196" customFormat="1" x14ac:dyDescent="0.25">
      <c r="A27" s="196">
        <v>25</v>
      </c>
      <c r="B27" s="197" t="s">
        <v>211</v>
      </c>
      <c r="C27" s="198">
        <v>67.910111999999998</v>
      </c>
      <c r="D27" s="196">
        <v>60.851354838709703</v>
      </c>
      <c r="E27" s="196">
        <v>420</v>
      </c>
      <c r="F27" s="196">
        <v>0</v>
      </c>
      <c r="G27" s="196">
        <v>0</v>
      </c>
      <c r="H27" s="196">
        <v>703</v>
      </c>
      <c r="I27" s="196">
        <v>0</v>
      </c>
      <c r="J27" s="202">
        <v>0</v>
      </c>
      <c r="K27" s="202">
        <v>0</v>
      </c>
      <c r="L27" s="202">
        <v>268.73687671235001</v>
      </c>
      <c r="M27" s="202">
        <v>0</v>
      </c>
      <c r="N27" s="202">
        <v>0</v>
      </c>
      <c r="O27" s="202">
        <f t="shared" si="0"/>
        <v>3.9572439037112765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331.34000299996001</v>
      </c>
      <c r="D28" s="196"/>
      <c r="E28" s="196"/>
      <c r="F28" s="196"/>
      <c r="G28" s="196"/>
      <c r="H28" s="196"/>
      <c r="I28" s="196"/>
      <c r="J28" s="203">
        <f t="shared" ref="J28:P28" si="2">SUM(J3:J27)</f>
        <v>6713.7170706646302</v>
      </c>
      <c r="K28" s="203">
        <f t="shared" si="2"/>
        <v>0</v>
      </c>
      <c r="L28" s="203">
        <f t="shared" si="2"/>
        <v>2327.9776500560602</v>
      </c>
      <c r="M28" s="203">
        <f t="shared" si="2"/>
        <v>1059.2553679707</v>
      </c>
      <c r="N28" s="202">
        <f>(J28+M28)/C28</f>
        <v>23.459203139550489</v>
      </c>
      <c r="O28" s="202">
        <f t="shared" si="0"/>
        <v>30.485151195862727</v>
      </c>
      <c r="P28" s="202">
        <f t="shared" si="2"/>
        <v>10100.95008869139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DAY("1/31/2020") * 24</f>
        <v>744</v>
      </c>
      <c r="D43" s="213">
        <f>IF($C$44=0,0,C43/$C$44)</f>
        <v>1</v>
      </c>
      <c r="E43" s="236">
        <v>30.344107142857201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30.344107142857201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61.987517812379998</v>
      </c>
      <c r="D52" s="202">
        <v>1.7849191316666699</v>
      </c>
      <c r="E52" s="202">
        <v>1163.8265993693401</v>
      </c>
      <c r="F52" s="201">
        <v>652.03323709892004</v>
      </c>
      <c r="G52" s="202">
        <v>5.07853081924</v>
      </c>
      <c r="H52" s="202">
        <v>39445.446890436782</v>
      </c>
      <c r="I52" s="202">
        <f>IF(F52=0,0,J52/F52)</f>
        <v>1.7927078922991244</v>
      </c>
      <c r="J52" s="202">
        <f>$E52+$G52</f>
        <v>1168.9051301885802</v>
      </c>
    </row>
    <row r="53" spans="1:16" s="196" customFormat="1" x14ac:dyDescent="0.25">
      <c r="A53" s="196">
        <v>2</v>
      </c>
      <c r="B53" s="197" t="s">
        <v>230</v>
      </c>
      <c r="C53" s="198">
        <v>67.262921250000005</v>
      </c>
      <c r="D53" s="202">
        <v>1.9367654516666699</v>
      </c>
      <c r="E53" s="202">
        <v>1476.8140914339399</v>
      </c>
      <c r="F53" s="201">
        <v>762.51571413104</v>
      </c>
      <c r="G53" s="202">
        <v>3.6105024538200001</v>
      </c>
      <c r="H53" s="202">
        <v>55254.761893553623</v>
      </c>
      <c r="I53" s="202">
        <f t="shared" ref="I53:I69" si="3">IF(F53=0,0,J53/F53)</f>
        <v>1.9415004392071396</v>
      </c>
      <c r="J53" s="202">
        <f t="shared" ref="J53:J69" si="4">$E53+$G53</f>
        <v>1480.4245938877598</v>
      </c>
    </row>
    <row r="54" spans="1:16" s="196" customFormat="1" x14ac:dyDescent="0.25">
      <c r="A54" s="196">
        <v>3</v>
      </c>
      <c r="B54" s="197" t="s">
        <v>231</v>
      </c>
      <c r="C54" s="198">
        <v>5.2080000000000002</v>
      </c>
      <c r="D54" s="202">
        <v>3.06753034458333</v>
      </c>
      <c r="E54" s="202">
        <v>329.72669125303003</v>
      </c>
      <c r="F54" s="201">
        <v>107.48930058114</v>
      </c>
      <c r="G54" s="202">
        <v>13.755823671570001</v>
      </c>
      <c r="H54" s="202">
        <v>7655.9330898247872</v>
      </c>
      <c r="I54" s="202">
        <f t="shared" si="3"/>
        <v>3.1955042322125524</v>
      </c>
      <c r="J54" s="202">
        <f t="shared" si="4"/>
        <v>343.48251492460003</v>
      </c>
    </row>
    <row r="55" spans="1:16" s="196" customFormat="1" x14ac:dyDescent="0.25">
      <c r="A55" s="196">
        <v>4</v>
      </c>
      <c r="B55" s="197" t="s">
        <v>232</v>
      </c>
      <c r="C55" s="198">
        <v>37.166519999999998</v>
      </c>
      <c r="D55" s="202">
        <v>3.07179737458334</v>
      </c>
      <c r="E55" s="202">
        <v>1472.9157717144899</v>
      </c>
      <c r="F55" s="201">
        <v>479.49639643898001</v>
      </c>
      <c r="G55" s="202">
        <v>61.36301794549</v>
      </c>
      <c r="H55" s="202">
        <v>34152.164988531338</v>
      </c>
      <c r="I55" s="202">
        <f t="shared" si="3"/>
        <v>3.1997712622126655</v>
      </c>
      <c r="J55" s="202">
        <f t="shared" si="4"/>
        <v>1534.2787896599798</v>
      </c>
    </row>
    <row r="56" spans="1:16" s="196" customFormat="1" x14ac:dyDescent="0.25">
      <c r="A56" s="196">
        <v>5</v>
      </c>
      <c r="B56" s="197" t="s">
        <v>233</v>
      </c>
      <c r="C56" s="198">
        <v>25.227700800000001</v>
      </c>
      <c r="D56" s="202">
        <v>2.01333391208333</v>
      </c>
      <c r="E56" s="202">
        <v>673.04195030685901</v>
      </c>
      <c r="F56" s="201">
        <v>334.29226330110998</v>
      </c>
      <c r="G56" s="202">
        <v>15.81565522026</v>
      </c>
      <c r="H56" s="202">
        <v>25191.579751402413</v>
      </c>
      <c r="I56" s="202">
        <f t="shared" si="3"/>
        <v>2.0606447744997269</v>
      </c>
      <c r="J56" s="202">
        <f t="shared" si="4"/>
        <v>688.85760552711906</v>
      </c>
    </row>
    <row r="57" spans="1:16" s="196" customFormat="1" x14ac:dyDescent="0.25">
      <c r="A57" s="196">
        <v>6</v>
      </c>
      <c r="B57" s="197" t="s">
        <v>234</v>
      </c>
      <c r="C57" s="198">
        <v>3.3480000000000003E-2</v>
      </c>
      <c r="D57" s="202">
        <v>3.2768701629166701</v>
      </c>
      <c r="E57" s="202">
        <v>1.4153965482699999</v>
      </c>
      <c r="F57" s="201">
        <v>0.43193549888999999</v>
      </c>
      <c r="G57" s="202">
        <v>0</v>
      </c>
      <c r="H57" s="202">
        <v>387.73384101436267</v>
      </c>
      <c r="I57" s="202">
        <f t="shared" si="3"/>
        <v>3.2768701621129215</v>
      </c>
      <c r="J57" s="202">
        <f t="shared" si="4"/>
        <v>1.4153965482699999</v>
      </c>
    </row>
    <row r="58" spans="1:16" s="196" customFormat="1" x14ac:dyDescent="0.25">
      <c r="A58" s="196">
        <v>7</v>
      </c>
      <c r="B58" s="197" t="s">
        <v>235</v>
      </c>
      <c r="C58" s="198">
        <v>6.8299200000000004E-2</v>
      </c>
      <c r="D58" s="202">
        <v>2.2485355650000001</v>
      </c>
      <c r="E58" s="202">
        <v>2.0349982116000001</v>
      </c>
      <c r="F58" s="201">
        <v>0.90503269919999996</v>
      </c>
      <c r="G58" s="202">
        <v>0</v>
      </c>
      <c r="H58" s="202">
        <v>748.57956923076915</v>
      </c>
      <c r="I58" s="202">
        <f t="shared" si="3"/>
        <v>2.2485355649567453</v>
      </c>
      <c r="J58" s="202">
        <f t="shared" si="4"/>
        <v>2.0349982116000001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0.15535718749999999</v>
      </c>
      <c r="D67" s="202">
        <v>18.714285709999999</v>
      </c>
      <c r="E67" s="202">
        <v>30.582296469900001</v>
      </c>
      <c r="F67" s="201">
        <v>1.63416851404</v>
      </c>
      <c r="G67" s="202">
        <v>0</v>
      </c>
      <c r="H67" s="202">
        <v>11672.632243142856</v>
      </c>
      <c r="I67" s="202">
        <f t="shared" si="3"/>
        <v>18.714285709920016</v>
      </c>
      <c r="J67" s="202">
        <f t="shared" si="4"/>
        <v>30.582296469900001</v>
      </c>
    </row>
    <row r="68" spans="1:21" s="196" customFormat="1" x14ac:dyDescent="0.25">
      <c r="A68" s="196">
        <v>17</v>
      </c>
      <c r="B68" s="197" t="s">
        <v>242</v>
      </c>
      <c r="C68" s="198">
        <v>0.16857875</v>
      </c>
      <c r="D68" s="202">
        <v>20.428571430000002</v>
      </c>
      <c r="E68" s="202">
        <v>39.040367751029997</v>
      </c>
      <c r="F68" s="201">
        <v>1.9110669526999999</v>
      </c>
      <c r="G68" s="202">
        <v>0</v>
      </c>
      <c r="H68" s="202">
        <v>13650.478233571428</v>
      </c>
      <c r="I68" s="202">
        <f t="shared" si="3"/>
        <v>20.428571430149454</v>
      </c>
      <c r="J68" s="202">
        <f t="shared" si="4"/>
        <v>39.040367751029997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1/1/2020&amp;CMontana-Dakota Utility Co.
Plexos V6.400
Plexos by Month - 2020 Operating Plan - Base Model - V-1 - Run 1&amp;RPage 1
8/21/2019
11:08:38 AM</oddHeader>
    <oddFooter>&amp;RPage 1
8/21/2019
11:08:38 AM&amp;C
Plexos V6.400
Plexos by Month - 2020 Operating Plan - Base Model - V-1 - Run 1&amp;L
Month Beginning: 1/1/2020</oddFooter>
    <evenHeader>&amp;L
Month Beginning: 1/1/2020&amp;CMontana-Dakota Utility Co.
Plexos V6.400
Plexos by Month - 2020 Operating Plan - Base Model - V-1 - Run 1&amp;RPage 2
8/21/2019
11:08:38 AM</evenHeader>
    <evenFooter>&amp;RPage 2
8/21/2019
11:08:38 AM&amp;C
Plexos V6.400
Plexos by Month - 2020 Operating Plan - Base Model - V-1 - Run 1&amp;L
Month Beginning: 1/1/2020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3659-7DEE-4FE4-8738-EE7ADB3807CD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64.466999999999999</v>
      </c>
      <c r="D3" s="199">
        <v>85.368663594470107</v>
      </c>
      <c r="E3" s="200">
        <v>0</v>
      </c>
      <c r="F3" s="201">
        <v>678.07361044052004</v>
      </c>
      <c r="G3" s="200">
        <v>10518.1505334593</v>
      </c>
      <c r="H3" s="200">
        <v>696</v>
      </c>
      <c r="I3" s="202">
        <v>1.8272425480955601</v>
      </c>
      <c r="J3" s="202">
        <v>1239.0049517376899</v>
      </c>
      <c r="K3" s="202">
        <v>0</v>
      </c>
      <c r="L3" s="202">
        <v>215.87912365757001</v>
      </c>
      <c r="M3" s="202">
        <v>295.41809348999999</v>
      </c>
      <c r="N3" s="202">
        <v>23.801682182010801</v>
      </c>
      <c r="O3" s="202">
        <f>IF(C3=0,0,IF(P3/C3&gt;9999,TEXT(P3/C3,"0.00E+00"),P3/C3))</f>
        <v>27.15035861580747</v>
      </c>
      <c r="P3" s="202">
        <f>SUM(J3:M3)</f>
        <v>1750.30216888526</v>
      </c>
    </row>
    <row r="4" spans="1:16" s="196" customFormat="1" x14ac:dyDescent="0.25">
      <c r="A4" s="196">
        <v>2</v>
      </c>
      <c r="B4" s="196" t="s">
        <v>188</v>
      </c>
      <c r="C4" s="198">
        <v>69.947999999999993</v>
      </c>
      <c r="D4" s="199">
        <v>93.837535014005596</v>
      </c>
      <c r="E4" s="200">
        <v>0</v>
      </c>
      <c r="F4" s="201">
        <v>792.78197759206</v>
      </c>
      <c r="G4" s="200">
        <v>11333.876273689901</v>
      </c>
      <c r="H4" s="200">
        <v>696</v>
      </c>
      <c r="I4" s="202">
        <v>1.9829949665495299</v>
      </c>
      <c r="J4" s="202">
        <v>1572.0826711362399</v>
      </c>
      <c r="K4" s="202">
        <v>0</v>
      </c>
      <c r="L4" s="202">
        <v>317.40102596702002</v>
      </c>
      <c r="M4" s="202">
        <v>254.3239332</v>
      </c>
      <c r="N4" s="202">
        <v>26.1109196022222</v>
      </c>
      <c r="O4" s="202">
        <f t="shared" ref="O4:O28" si="0">IF(C4=0,0,IF(P4/C4&gt;9999,TEXT(P4/C4,"0.00E+00"),P4/C4))</f>
        <v>30.648590814651744</v>
      </c>
      <c r="P4" s="202">
        <f t="shared" ref="P4:P27" si="1">SUM(J4:M4)</f>
        <v>2143.8076303032599</v>
      </c>
    </row>
    <row r="5" spans="1:16" s="196" customFormat="1" x14ac:dyDescent="0.25">
      <c r="A5" s="196">
        <v>3</v>
      </c>
      <c r="B5" s="197" t="s">
        <v>189</v>
      </c>
      <c r="C5" s="198">
        <v>4.8719999999999999</v>
      </c>
      <c r="D5" s="199">
        <v>26.819923371647501</v>
      </c>
      <c r="E5" s="200">
        <v>0</v>
      </c>
      <c r="F5" s="201">
        <v>100.55450699526</v>
      </c>
      <c r="G5" s="200">
        <v>20639.266624642802</v>
      </c>
      <c r="H5" s="200">
        <v>696</v>
      </c>
      <c r="I5" s="202">
        <v>3.0675303446051401</v>
      </c>
      <c r="J5" s="202">
        <v>308.45400149477001</v>
      </c>
      <c r="K5" s="202">
        <v>0</v>
      </c>
      <c r="L5" s="202">
        <v>183.7181273919</v>
      </c>
      <c r="M5" s="202">
        <v>29.64227112</v>
      </c>
      <c r="N5" s="202">
        <v>69.395786661488103</v>
      </c>
      <c r="O5" s="202">
        <f t="shared" si="0"/>
        <v>107.10476190613095</v>
      </c>
      <c r="P5" s="202">
        <f t="shared" si="1"/>
        <v>521.81440000666998</v>
      </c>
    </row>
    <row r="6" spans="1:16" s="196" customFormat="1" x14ac:dyDescent="0.25">
      <c r="A6" s="196">
        <v>4</v>
      </c>
      <c r="B6" s="197" t="s">
        <v>190</v>
      </c>
      <c r="C6" s="198">
        <v>34.799999999999997</v>
      </c>
      <c r="D6" s="199">
        <v>66.755674232309801</v>
      </c>
      <c r="E6" s="200">
        <v>0</v>
      </c>
      <c r="F6" s="201">
        <v>448.96521374832997</v>
      </c>
      <c r="G6" s="200">
        <v>12901.2992456417</v>
      </c>
      <c r="H6" s="200">
        <v>696</v>
      </c>
      <c r="I6" s="202">
        <v>3.07198194011522</v>
      </c>
      <c r="J6" s="202">
        <v>1379.21302837484</v>
      </c>
      <c r="K6" s="202">
        <v>0</v>
      </c>
      <c r="L6" s="202">
        <v>334.21644476161998</v>
      </c>
      <c r="M6" s="202">
        <v>250.83631199999999</v>
      </c>
      <c r="N6" s="202">
        <v>46.840498286633299</v>
      </c>
      <c r="O6" s="202">
        <f t="shared" si="0"/>
        <v>56.444419113116666</v>
      </c>
      <c r="P6" s="202">
        <f t="shared" si="1"/>
        <v>1964.2657851364597</v>
      </c>
    </row>
    <row r="7" spans="1:16" s="196" customFormat="1" x14ac:dyDescent="0.25">
      <c r="A7" s="196">
        <v>5</v>
      </c>
      <c r="B7" s="197" t="s">
        <v>191</v>
      </c>
      <c r="C7" s="198">
        <v>23.664000000000001</v>
      </c>
      <c r="D7" s="199">
        <v>72.340425531914903</v>
      </c>
      <c r="E7" s="200">
        <v>0</v>
      </c>
      <c r="F7" s="201">
        <v>313.57166400029001</v>
      </c>
      <c r="G7" s="200">
        <v>13251.0000000123</v>
      </c>
      <c r="H7" s="200">
        <v>696</v>
      </c>
      <c r="I7" s="202">
        <v>2.0139689567121</v>
      </c>
      <c r="J7" s="202">
        <v>631.52359700114005</v>
      </c>
      <c r="K7" s="202">
        <v>0</v>
      </c>
      <c r="L7" s="202">
        <v>353.26487928756001</v>
      </c>
      <c r="M7" s="202">
        <v>214.68548736</v>
      </c>
      <c r="N7" s="202">
        <v>35.759342645416702</v>
      </c>
      <c r="O7" s="202">
        <f t="shared" si="0"/>
        <v>50.687709755269601</v>
      </c>
      <c r="P7" s="202">
        <f t="shared" si="1"/>
        <v>1199.4739636487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12.203826320539999</v>
      </c>
      <c r="M9" s="202">
        <v>0</v>
      </c>
      <c r="N9" s="202">
        <v>0</v>
      </c>
      <c r="O9" s="202">
        <f t="shared" si="0"/>
        <v>0</v>
      </c>
      <c r="P9" s="202">
        <f t="shared" si="1"/>
        <v>12.203826320539999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25.099515493249999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25.099515493249999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2.5705221808099998</v>
      </c>
      <c r="M11" s="202">
        <v>0</v>
      </c>
      <c r="N11" s="202">
        <v>0</v>
      </c>
      <c r="O11" s="202">
        <f t="shared" si="0"/>
        <v>0</v>
      </c>
      <c r="P11" s="202">
        <f t="shared" si="1"/>
        <v>2.5705221808099998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211.06917801649001</v>
      </c>
      <c r="M12" s="202">
        <v>0</v>
      </c>
      <c r="N12" s="202">
        <v>0</v>
      </c>
      <c r="O12" s="202">
        <f t="shared" si="0"/>
        <v>0</v>
      </c>
      <c r="P12" s="202">
        <f t="shared" si="1"/>
        <v>211.06917801649001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49.571613682159999</v>
      </c>
      <c r="M14" s="202">
        <v>0</v>
      </c>
      <c r="N14" s="202">
        <v>0</v>
      </c>
      <c r="O14" s="202">
        <f t="shared" si="0"/>
        <v>0</v>
      </c>
      <c r="P14" s="202">
        <f t="shared" si="1"/>
        <v>49.571613682159999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14.782851221890001</v>
      </c>
      <c r="M15" s="202">
        <v>0</v>
      </c>
      <c r="N15" s="202">
        <v>0</v>
      </c>
      <c r="O15" s="202">
        <f t="shared" si="0"/>
        <v>0</v>
      </c>
      <c r="P15" s="202">
        <f t="shared" si="1"/>
        <v>14.782851221890001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1.32823600854</v>
      </c>
      <c r="D17" s="196">
        <v>93.091954621530704</v>
      </c>
      <c r="E17" s="196">
        <v>0</v>
      </c>
      <c r="F17" s="196">
        <v>1.3282360101899999</v>
      </c>
      <c r="G17" s="196">
        <v>1000.0000012422501</v>
      </c>
      <c r="H17" s="196">
        <v>696</v>
      </c>
      <c r="I17" s="196">
        <v>33.250000000047102</v>
      </c>
      <c r="J17" s="202">
        <v>44.163847338879997</v>
      </c>
      <c r="K17" s="202">
        <v>0</v>
      </c>
      <c r="L17" s="202">
        <v>0</v>
      </c>
      <c r="M17" s="202">
        <v>0</v>
      </c>
      <c r="N17" s="202">
        <v>33.250000041351797</v>
      </c>
      <c r="O17" s="202">
        <f t="shared" si="0"/>
        <v>33.250000041351832</v>
      </c>
      <c r="P17" s="202">
        <f t="shared" si="1"/>
        <v>44.163847338879997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15.91027397271</v>
      </c>
      <c r="M18" s="202">
        <v>0</v>
      </c>
      <c r="N18" s="202">
        <v>0</v>
      </c>
      <c r="O18" s="202">
        <f t="shared" si="0"/>
        <v>0</v>
      </c>
      <c r="P18" s="202">
        <f t="shared" si="1"/>
        <v>15.91027397271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42.149315068370001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42.149315068370001</v>
      </c>
    </row>
    <row r="20" spans="1:16" s="196" customFormat="1" x14ac:dyDescent="0.25">
      <c r="A20" s="196">
        <v>18</v>
      </c>
      <c r="B20" s="197" t="s">
        <v>204</v>
      </c>
      <c r="C20" s="198">
        <v>-7.7401758278599999</v>
      </c>
      <c r="D20" s="196">
        <v>1.1120942281407999</v>
      </c>
      <c r="J20" s="202">
        <v>-232.59228362688</v>
      </c>
      <c r="K20" s="202"/>
      <c r="L20" s="202"/>
      <c r="M20" s="202"/>
      <c r="N20" s="202"/>
      <c r="O20" s="202">
        <f t="shared" si="0"/>
        <v>30.049999999959564</v>
      </c>
      <c r="P20" s="202">
        <f t="shared" si="1"/>
        <v>-232.59228362688</v>
      </c>
    </row>
    <row r="21" spans="1:16" s="196" customFormat="1" x14ac:dyDescent="0.25">
      <c r="A21" s="196">
        <v>19</v>
      </c>
      <c r="B21" s="197" t="s">
        <v>205</v>
      </c>
      <c r="C21" s="198">
        <v>43.442310619319997</v>
      </c>
      <c r="D21" s="199">
        <v>24.966845183517201</v>
      </c>
      <c r="E21" s="200">
        <v>2</v>
      </c>
      <c r="F21" s="201">
        <v>43.442310618150003</v>
      </c>
      <c r="G21" s="200">
        <v>999.99999997306804</v>
      </c>
      <c r="H21" s="200">
        <v>523</v>
      </c>
      <c r="I21" s="202">
        <v>30.049999999998199</v>
      </c>
      <c r="J21" s="202">
        <v>1305.4414340753301</v>
      </c>
      <c r="K21" s="202">
        <v>0</v>
      </c>
      <c r="L21" s="202">
        <v>0</v>
      </c>
      <c r="M21" s="202">
        <v>0</v>
      </c>
      <c r="N21" s="202">
        <v>30.049999999188898</v>
      </c>
      <c r="O21" s="202">
        <f t="shared" si="0"/>
        <v>30.049999999188906</v>
      </c>
      <c r="P21" s="202">
        <f t="shared" si="1"/>
        <v>1305.4414340753301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10.130136986209999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10.130136986209999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9.5342465754099894</v>
      </c>
      <c r="M23" s="202">
        <v>0</v>
      </c>
      <c r="N23" s="202">
        <v>0</v>
      </c>
      <c r="O23" s="202">
        <f t="shared" si="0"/>
        <v>0</v>
      </c>
      <c r="P23" s="202">
        <f t="shared" si="1"/>
        <v>9.5342465754099894</v>
      </c>
    </row>
    <row r="24" spans="1:16" s="196" customFormat="1" x14ac:dyDescent="0.25">
      <c r="A24" s="196">
        <v>22</v>
      </c>
      <c r="B24" s="197" t="s">
        <v>208</v>
      </c>
      <c r="C24" s="198">
        <v>3.9706861999999998</v>
      </c>
      <c r="D24" s="196">
        <v>29.062704574864899</v>
      </c>
      <c r="E24" s="196">
        <v>234</v>
      </c>
      <c r="F24" s="196">
        <v>0</v>
      </c>
      <c r="G24" s="196">
        <v>0</v>
      </c>
      <c r="H24" s="196">
        <v>598</v>
      </c>
      <c r="I24" s="196">
        <v>0</v>
      </c>
      <c r="J24" s="202">
        <v>0</v>
      </c>
      <c r="K24" s="202">
        <v>0</v>
      </c>
      <c r="L24" s="202">
        <v>33.64674234108</v>
      </c>
      <c r="M24" s="202">
        <v>0</v>
      </c>
      <c r="N24" s="202">
        <v>0</v>
      </c>
      <c r="O24" s="202">
        <f t="shared" si="0"/>
        <v>8.4737852971307586</v>
      </c>
      <c r="P24" s="202">
        <f t="shared" si="1"/>
        <v>33.64674234108</v>
      </c>
    </row>
    <row r="25" spans="1:16" s="196" customFormat="1" x14ac:dyDescent="0.25">
      <c r="A25" s="196">
        <v>23</v>
      </c>
      <c r="B25" s="197" t="s">
        <v>209</v>
      </c>
      <c r="C25" s="198">
        <v>7.8718300000000001</v>
      </c>
      <c r="D25" s="196">
        <v>37.450664154677597</v>
      </c>
      <c r="E25" s="196">
        <v>400</v>
      </c>
      <c r="F25" s="196">
        <v>0</v>
      </c>
      <c r="G25" s="196">
        <v>0</v>
      </c>
      <c r="H25" s="196">
        <v>641</v>
      </c>
      <c r="I25" s="196">
        <v>0</v>
      </c>
      <c r="J25" s="202">
        <v>0</v>
      </c>
      <c r="K25" s="202">
        <v>0</v>
      </c>
      <c r="L25" s="202">
        <v>48.80096768216</v>
      </c>
      <c r="M25" s="202">
        <v>0</v>
      </c>
      <c r="N25" s="202">
        <v>0</v>
      </c>
      <c r="O25" s="202">
        <f t="shared" si="0"/>
        <v>6.1994437992385505</v>
      </c>
      <c r="P25" s="202">
        <f t="shared" si="1"/>
        <v>48.80096768216</v>
      </c>
    </row>
    <row r="26" spans="1:16" x14ac:dyDescent="0.25">
      <c r="A26" s="196">
        <v>24</v>
      </c>
      <c r="B26" s="197" t="s">
        <v>210</v>
      </c>
      <c r="C26" s="198">
        <v>2.9232</v>
      </c>
      <c r="D26" s="196">
        <v>87.500000000000099</v>
      </c>
      <c r="E26" s="196">
        <v>0</v>
      </c>
      <c r="F26" s="196">
        <v>2.9232</v>
      </c>
      <c r="G26" s="196">
        <v>1000</v>
      </c>
      <c r="H26" s="196">
        <v>696</v>
      </c>
      <c r="I26" s="196">
        <v>7.77</v>
      </c>
      <c r="J26" s="203">
        <v>22.713263999999999</v>
      </c>
      <c r="K26" s="203">
        <v>0</v>
      </c>
      <c r="L26" s="203">
        <v>45.561357501350003</v>
      </c>
      <c r="M26" s="203">
        <v>0</v>
      </c>
      <c r="N26" s="202">
        <v>7.77</v>
      </c>
      <c r="O26" s="202">
        <f t="shared" si="0"/>
        <v>23.356123939980158</v>
      </c>
      <c r="P26" s="202">
        <f t="shared" si="1"/>
        <v>68.274621501349998</v>
      </c>
    </row>
    <row r="27" spans="1:16" x14ac:dyDescent="0.25">
      <c r="A27" s="196">
        <v>25</v>
      </c>
      <c r="B27" s="197" t="s">
        <v>211</v>
      </c>
      <c r="C27" s="198">
        <v>47.354903999999998</v>
      </c>
      <c r="D27" s="196">
        <v>45.359103448275903</v>
      </c>
      <c r="E27" s="196">
        <v>960</v>
      </c>
      <c r="F27" s="196">
        <v>0</v>
      </c>
      <c r="G27" s="196">
        <v>0</v>
      </c>
      <c r="H27" s="196">
        <v>656</v>
      </c>
      <c r="I27" s="196">
        <v>0</v>
      </c>
      <c r="J27" s="203">
        <v>0</v>
      </c>
      <c r="K27" s="203">
        <v>0</v>
      </c>
      <c r="L27" s="203">
        <v>251.39901369865001</v>
      </c>
      <c r="M27" s="203">
        <v>0</v>
      </c>
      <c r="N27" s="202">
        <v>0</v>
      </c>
      <c r="O27" s="202">
        <f t="shared" si="0"/>
        <v>5.308827438413771</v>
      </c>
      <c r="P27" s="202">
        <f t="shared" si="1"/>
        <v>251.39901369865001</v>
      </c>
    </row>
    <row r="28" spans="1:16" x14ac:dyDescent="0.25">
      <c r="B28" s="197" t="s">
        <v>212</v>
      </c>
      <c r="C28" s="198">
        <f>SUM(C3:C27)</f>
        <v>296.9019909999999</v>
      </c>
      <c r="D28" s="196"/>
      <c r="E28" s="196"/>
      <c r="F28" s="196"/>
      <c r="G28" s="196"/>
      <c r="H28" s="196"/>
      <c r="I28" s="196"/>
      <c r="J28" s="203">
        <f t="shared" ref="J28:P28" si="2">SUM(J3:J27)</f>
        <v>6270.0045115320099</v>
      </c>
      <c r="K28" s="203">
        <f t="shared" si="2"/>
        <v>0</v>
      </c>
      <c r="L28" s="203">
        <f t="shared" si="2"/>
        <v>2176.9091618067496</v>
      </c>
      <c r="M28" s="203">
        <f t="shared" si="2"/>
        <v>1044.9060971700001</v>
      </c>
      <c r="N28" s="202">
        <f>(J28+M28)/C28</f>
        <v>24.637458927319933</v>
      </c>
      <c r="O28" s="202">
        <f t="shared" si="0"/>
        <v>31.969538966509536</v>
      </c>
      <c r="P28" s="202">
        <f t="shared" si="2"/>
        <v>9491.8197705087605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DAY("2/29/2020") * 24</f>
        <v>696</v>
      </c>
      <c r="D43" s="213">
        <f>IF($C$44=0,0,C43/$C$44)</f>
        <v>1</v>
      </c>
      <c r="E43" s="236">
        <v>30.043236940298499</v>
      </c>
      <c r="F43" s="236"/>
    </row>
    <row r="44" spans="1:21" x14ac:dyDescent="0.25">
      <c r="A44" s="214"/>
      <c r="B44" s="204" t="s">
        <v>212</v>
      </c>
      <c r="C44" s="200">
        <f>SUM(C41:C43)</f>
        <v>696</v>
      </c>
      <c r="D44" s="215">
        <f>SUM(D41:D43)</f>
        <v>1</v>
      </c>
      <c r="E44" s="237">
        <f>E41*D41+E42*D42+E43*D43</f>
        <v>30.043236940298499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64.305832499999994</v>
      </c>
      <c r="D52" s="202">
        <v>1.7849191316666699</v>
      </c>
      <c r="E52" s="202">
        <v>1207.2807935421899</v>
      </c>
      <c r="F52" s="201">
        <v>676.37842641441</v>
      </c>
      <c r="G52" s="202">
        <v>5.2681496717899998</v>
      </c>
      <c r="H52" s="202">
        <v>40918.235112789473</v>
      </c>
      <c r="I52" s="202">
        <f>IF(F52=0,0,J52/F52)</f>
        <v>1.7927078922991313</v>
      </c>
      <c r="J52" s="202">
        <f>$E52+$G52</f>
        <v>1212.54894321398</v>
      </c>
    </row>
    <row r="53" spans="1:16" s="196" customFormat="1" x14ac:dyDescent="0.25">
      <c r="A53" s="196">
        <v>2</v>
      </c>
      <c r="B53" s="197" t="s">
        <v>230</v>
      </c>
      <c r="C53" s="198">
        <v>69.773129999999995</v>
      </c>
      <c r="D53" s="202">
        <v>1.9367654516666699</v>
      </c>
      <c r="E53" s="202">
        <v>1531.59416299228</v>
      </c>
      <c r="F53" s="201">
        <v>790.80002264809002</v>
      </c>
      <c r="G53" s="202">
        <v>3.7444283040199999</v>
      </c>
      <c r="H53" s="202">
        <v>57304.349467252898</v>
      </c>
      <c r="I53" s="202">
        <f t="shared" ref="I53:I69" si="3">IF(F53=0,0,J53/F53)</f>
        <v>1.9415004392071613</v>
      </c>
      <c r="J53" s="202">
        <f t="shared" ref="J53:J69" si="4">$E53+$G53</f>
        <v>1535.3385912962999</v>
      </c>
    </row>
    <row r="54" spans="1:16" s="196" customFormat="1" x14ac:dyDescent="0.25">
      <c r="A54" s="196">
        <v>3</v>
      </c>
      <c r="B54" s="197" t="s">
        <v>231</v>
      </c>
      <c r="C54" s="198">
        <v>4.8719999999999999</v>
      </c>
      <c r="D54" s="202">
        <v>3.06753034458333</v>
      </c>
      <c r="E54" s="202">
        <v>308.45400149477001</v>
      </c>
      <c r="F54" s="201">
        <v>100.55450699526</v>
      </c>
      <c r="G54" s="202">
        <v>12.86835117663</v>
      </c>
      <c r="H54" s="202">
        <v>7162.0019227393168</v>
      </c>
      <c r="I54" s="202">
        <f t="shared" si="3"/>
        <v>3.1955042322125524</v>
      </c>
      <c r="J54" s="202">
        <f t="shared" si="4"/>
        <v>321.32235267140004</v>
      </c>
    </row>
    <row r="55" spans="1:16" s="196" customFormat="1" x14ac:dyDescent="0.25">
      <c r="A55" s="196">
        <v>4</v>
      </c>
      <c r="B55" s="197" t="s">
        <v>232</v>
      </c>
      <c r="C55" s="198">
        <v>34.768680000000003</v>
      </c>
      <c r="D55" s="202">
        <v>3.07179737458334</v>
      </c>
      <c r="E55" s="202">
        <v>1377.8889477329101</v>
      </c>
      <c r="F55" s="201">
        <v>448.56114505582002</v>
      </c>
      <c r="G55" s="202">
        <v>57.404113561910002</v>
      </c>
      <c r="H55" s="202">
        <v>31948.799505400286</v>
      </c>
      <c r="I55" s="202">
        <f t="shared" si="3"/>
        <v>3.1997712622126659</v>
      </c>
      <c r="J55" s="202">
        <f t="shared" si="4"/>
        <v>1435.2930612948201</v>
      </c>
    </row>
    <row r="56" spans="1:16" s="196" customFormat="1" x14ac:dyDescent="0.25">
      <c r="A56" s="196">
        <v>5</v>
      </c>
      <c r="B56" s="197" t="s">
        <v>233</v>
      </c>
      <c r="C56" s="198">
        <v>23.6001072</v>
      </c>
      <c r="D56" s="202">
        <v>2.01333391208333</v>
      </c>
      <c r="E56" s="202">
        <v>629.61988899673997</v>
      </c>
      <c r="F56" s="201">
        <v>312.72502050749</v>
      </c>
      <c r="G56" s="202">
        <v>14.79529036734</v>
      </c>
      <c r="H56" s="202">
        <v>23566.316541634518</v>
      </c>
      <c r="I56" s="202">
        <f t="shared" si="3"/>
        <v>2.0606447744997296</v>
      </c>
      <c r="J56" s="202">
        <f t="shared" si="4"/>
        <v>644.41517936408002</v>
      </c>
    </row>
    <row r="57" spans="1:16" s="196" customFormat="1" x14ac:dyDescent="0.25">
      <c r="A57" s="196">
        <v>6</v>
      </c>
      <c r="B57" s="197" t="s">
        <v>234</v>
      </c>
      <c r="C57" s="198">
        <v>3.1320000000000001E-2</v>
      </c>
      <c r="D57" s="202">
        <v>3.2768701629166701</v>
      </c>
      <c r="E57" s="202">
        <v>1.32408064193</v>
      </c>
      <c r="F57" s="201">
        <v>0.40406869250999999</v>
      </c>
      <c r="G57" s="202">
        <v>0</v>
      </c>
      <c r="H57" s="202">
        <v>362.71875449730697</v>
      </c>
      <c r="I57" s="202">
        <f t="shared" si="3"/>
        <v>3.2768701621129215</v>
      </c>
      <c r="J57" s="202">
        <f t="shared" si="4"/>
        <v>1.32408064193</v>
      </c>
    </row>
    <row r="58" spans="1:16" s="196" customFormat="1" x14ac:dyDescent="0.25">
      <c r="A58" s="196">
        <v>7</v>
      </c>
      <c r="B58" s="197" t="s">
        <v>235</v>
      </c>
      <c r="C58" s="198">
        <v>6.38928E-2</v>
      </c>
      <c r="D58" s="202">
        <v>2.2485355650000001</v>
      </c>
      <c r="E58" s="202">
        <v>1.9037080044000001</v>
      </c>
      <c r="F58" s="201">
        <v>0.84664349279999995</v>
      </c>
      <c r="G58" s="202">
        <v>0</v>
      </c>
      <c r="H58" s="202">
        <v>700.28411315136475</v>
      </c>
      <c r="I58" s="202">
        <f t="shared" si="3"/>
        <v>2.2485355649567453</v>
      </c>
      <c r="J58" s="202">
        <f t="shared" si="4"/>
        <v>1.9037080044000001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0.16116749999999999</v>
      </c>
      <c r="D67" s="202">
        <v>18.714285709999999</v>
      </c>
      <c r="E67" s="202">
        <v>31.724158195499999</v>
      </c>
      <c r="F67" s="201">
        <v>1.69518402611</v>
      </c>
      <c r="G67" s="202">
        <v>0</v>
      </c>
      <c r="H67" s="202">
        <v>12108.457329357141</v>
      </c>
      <c r="I67" s="202">
        <f t="shared" si="3"/>
        <v>18.714285709911138</v>
      </c>
      <c r="J67" s="202">
        <f t="shared" si="4"/>
        <v>31.724158195499999</v>
      </c>
    </row>
    <row r="68" spans="1:21" s="196" customFormat="1" x14ac:dyDescent="0.25">
      <c r="A68" s="196">
        <v>17</v>
      </c>
      <c r="B68" s="197" t="s">
        <v>242</v>
      </c>
      <c r="C68" s="198">
        <v>0.17487</v>
      </c>
      <c r="D68" s="202">
        <v>20.428571430000002</v>
      </c>
      <c r="E68" s="202">
        <v>40.488508144249998</v>
      </c>
      <c r="F68" s="201">
        <v>1.9819549439699999</v>
      </c>
      <c r="G68" s="202">
        <v>0</v>
      </c>
      <c r="H68" s="202">
        <v>14156.821028357141</v>
      </c>
      <c r="I68" s="202">
        <f t="shared" si="3"/>
        <v>20.428571430160048</v>
      </c>
      <c r="J68" s="202">
        <f t="shared" si="4"/>
        <v>40.488508144249998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2/1/2020&amp;CMontana-Dakota Utility Co.
Plexos V6.400
Plexos by Month - 2020 Operating Plan - Base Model - V-1 - Run 1&amp;RPage 3
8/21/2019
11:08:38 AM</oddHeader>
    <oddFooter>&amp;RPage 3
8/21/2019
11:08:38 AM&amp;C
Plexos V6.400
Plexos by Month - 2020 Operating Plan - Base Model - V-1 - Run 1&amp;L
Month Beginning: 2/1/2020</oddFooter>
    <evenHeader>&amp;L
Month Beginning: 2/1/2020&amp;CMontana-Dakota Utility Co.
Plexos V6.400
Plexos by Month - 2020 Operating Plan - Base Model - V-1 - Run 1&amp;RPage 4
8/21/2019
11:08:38 AM</evenHeader>
    <evenFooter>&amp;RPage 4
8/21/2019
11:08:38 AM&amp;C
Plexos V6.400
Plexos by Month - 2020 Operating Plan - Base Model - V-1 - Run 1&amp;L
Month Beginning: 2/1/2020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CEEB-6898-420D-A4E7-233A6D3290A9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68.912999999999997</v>
      </c>
      <c r="D3" s="199">
        <v>85.368663594470107</v>
      </c>
      <c r="E3" s="200">
        <v>0</v>
      </c>
      <c r="F3" s="201">
        <v>724.83730771227999</v>
      </c>
      <c r="G3" s="200">
        <v>10518.1505334593</v>
      </c>
      <c r="H3" s="200">
        <v>744</v>
      </c>
      <c r="I3" s="202">
        <v>1.8272425480955601</v>
      </c>
      <c r="J3" s="202">
        <v>1324.4535690989101</v>
      </c>
      <c r="K3" s="202">
        <v>0</v>
      </c>
      <c r="L3" s="202">
        <v>230.76733908223</v>
      </c>
      <c r="M3" s="202">
        <v>315.79175511</v>
      </c>
      <c r="N3" s="202">
        <v>23.801682182010801</v>
      </c>
      <c r="O3" s="202">
        <f>IF(C3=0,0,IF(P3/C3&gt;9999,TEXT(P3/C3,"0.00E+00"),P3/C3))</f>
        <v>27.150358615807466</v>
      </c>
      <c r="P3" s="202">
        <f>SUM(J3:M3)</f>
        <v>1871.0126632911399</v>
      </c>
    </row>
    <row r="4" spans="1:16" s="196" customFormat="1" x14ac:dyDescent="0.25">
      <c r="A4" s="196">
        <v>2</v>
      </c>
      <c r="B4" s="196" t="s">
        <v>188</v>
      </c>
      <c r="C4" s="198">
        <v>51.114091009169996</v>
      </c>
      <c r="D4" s="199">
        <v>64.147278456936604</v>
      </c>
      <c r="E4" s="200">
        <v>1</v>
      </c>
      <c r="F4" s="201">
        <v>601.39140203629995</v>
      </c>
      <c r="G4" s="200">
        <v>11765.6675519948</v>
      </c>
      <c r="H4" s="200">
        <v>648</v>
      </c>
      <c r="I4" s="202">
        <v>1.98299496654942</v>
      </c>
      <c r="J4" s="202">
        <v>1192.55612316408</v>
      </c>
      <c r="K4" s="202">
        <v>0</v>
      </c>
      <c r="L4" s="202">
        <v>339.29075189577998</v>
      </c>
      <c r="M4" s="202">
        <v>185.84572350023001</v>
      </c>
      <c r="N4" s="202">
        <v>26.967159533699199</v>
      </c>
      <c r="O4" s="202">
        <f t="shared" ref="O4:O28" si="0">IF(C4=0,0,IF(P4/C4&gt;9999,TEXT(P4/C4,"0.00E+00"),P4/C4))</f>
        <v>33.605069847606828</v>
      </c>
      <c r="P4" s="202">
        <f t="shared" ref="P4:P27" si="1">SUM(J4:M4)</f>
        <v>1717.6925985600899</v>
      </c>
    </row>
    <row r="5" spans="1:16" s="196" customFormat="1" x14ac:dyDescent="0.25">
      <c r="A5" s="196">
        <v>3</v>
      </c>
      <c r="B5" s="197" t="s">
        <v>189</v>
      </c>
      <c r="C5" s="198">
        <v>4.5359999999999996</v>
      </c>
      <c r="D5" s="199">
        <v>23.359288097886498</v>
      </c>
      <c r="E5" s="200">
        <v>0</v>
      </c>
      <c r="F5" s="201">
        <v>93.619713409379997</v>
      </c>
      <c r="G5" s="200">
        <v>20639.2666246429</v>
      </c>
      <c r="H5" s="200">
        <v>648</v>
      </c>
      <c r="I5" s="202">
        <v>3.0675303446051401</v>
      </c>
      <c r="J5" s="202">
        <v>287.18131173651</v>
      </c>
      <c r="K5" s="202">
        <v>0</v>
      </c>
      <c r="L5" s="202">
        <v>196.38834307409999</v>
      </c>
      <c r="M5" s="202">
        <v>27.597976559999999</v>
      </c>
      <c r="N5" s="202">
        <v>69.395786661488103</v>
      </c>
      <c r="O5" s="202">
        <f t="shared" si="0"/>
        <v>112.69127675718917</v>
      </c>
      <c r="P5" s="202">
        <f t="shared" si="1"/>
        <v>511.16763137061002</v>
      </c>
    </row>
    <row r="6" spans="1:16" s="196" customFormat="1" x14ac:dyDescent="0.25">
      <c r="A6" s="196">
        <v>4</v>
      </c>
      <c r="B6" s="197" t="s">
        <v>190</v>
      </c>
      <c r="C6" s="198">
        <v>37.200000000000003</v>
      </c>
      <c r="D6" s="199">
        <v>66.755674232309801</v>
      </c>
      <c r="E6" s="200">
        <v>0</v>
      </c>
      <c r="F6" s="201">
        <v>479.92833193786998</v>
      </c>
      <c r="G6" s="200">
        <v>12901.2992456417</v>
      </c>
      <c r="H6" s="200">
        <v>744</v>
      </c>
      <c r="I6" s="202">
        <v>3.07198194011522</v>
      </c>
      <c r="J6" s="202">
        <v>1474.33116826276</v>
      </c>
      <c r="K6" s="202">
        <v>0</v>
      </c>
      <c r="L6" s="202">
        <v>357.26585474517998</v>
      </c>
      <c r="M6" s="202">
        <v>268.13536800000003</v>
      </c>
      <c r="N6" s="202">
        <v>46.840498286633299</v>
      </c>
      <c r="O6" s="202">
        <f t="shared" si="0"/>
        <v>56.444419113116659</v>
      </c>
      <c r="P6" s="202">
        <f t="shared" si="1"/>
        <v>2099.7323910079399</v>
      </c>
    </row>
    <row r="7" spans="1:16" s="196" customFormat="1" x14ac:dyDescent="0.25">
      <c r="A7" s="196">
        <v>5</v>
      </c>
      <c r="B7" s="197" t="s">
        <v>191</v>
      </c>
      <c r="C7" s="198">
        <v>25.295999999999999</v>
      </c>
      <c r="D7" s="199">
        <v>72.340425531914903</v>
      </c>
      <c r="E7" s="200">
        <v>0</v>
      </c>
      <c r="F7" s="201">
        <v>335.19729600031002</v>
      </c>
      <c r="G7" s="200">
        <v>13251.0000000123</v>
      </c>
      <c r="H7" s="200">
        <v>744</v>
      </c>
      <c r="I7" s="202">
        <v>2.0139689567121</v>
      </c>
      <c r="J7" s="202">
        <v>675.07694851845997</v>
      </c>
      <c r="K7" s="202">
        <v>0</v>
      </c>
      <c r="L7" s="202">
        <v>377.62797441084001</v>
      </c>
      <c r="M7" s="202">
        <v>229.49138303999999</v>
      </c>
      <c r="N7" s="202">
        <v>35.759342645416702</v>
      </c>
      <c r="O7" s="202">
        <f t="shared" si="0"/>
        <v>50.687709755269609</v>
      </c>
      <c r="P7" s="202">
        <f t="shared" si="1"/>
        <v>1282.1963059693001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13.045469515060001</v>
      </c>
      <c r="M9" s="202">
        <v>0</v>
      </c>
      <c r="N9" s="202">
        <v>0</v>
      </c>
      <c r="O9" s="202">
        <f t="shared" si="0"/>
        <v>0</v>
      </c>
      <c r="P9" s="202">
        <f t="shared" si="1"/>
        <v>13.045469515060001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26.830516561749999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26.830516561749999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2.74779957259</v>
      </c>
      <c r="M11" s="202">
        <v>0</v>
      </c>
      <c r="N11" s="202">
        <v>0</v>
      </c>
      <c r="O11" s="202">
        <f t="shared" si="0"/>
        <v>0</v>
      </c>
      <c r="P11" s="202">
        <f t="shared" si="1"/>
        <v>2.74779957259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225.62567305210999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225.62567305210999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52.990345660240003</v>
      </c>
      <c r="M14" s="202">
        <v>0</v>
      </c>
      <c r="N14" s="202">
        <v>0</v>
      </c>
      <c r="O14" s="202">
        <f t="shared" si="0"/>
        <v>0</v>
      </c>
      <c r="P14" s="202">
        <f t="shared" si="1"/>
        <v>52.990345660240003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15.80235820271</v>
      </c>
      <c r="M15" s="202">
        <v>0</v>
      </c>
      <c r="N15" s="202">
        <v>0</v>
      </c>
      <c r="O15" s="202">
        <f t="shared" si="0"/>
        <v>0</v>
      </c>
      <c r="P15" s="202">
        <f t="shared" si="1"/>
        <v>15.80235820271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4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1.1705831842000001</v>
      </c>
      <c r="D17" s="196">
        <v>76.749487555730298</v>
      </c>
      <c r="E17" s="196">
        <v>0</v>
      </c>
      <c r="F17" s="196">
        <v>1.1705831840400001</v>
      </c>
      <c r="G17" s="196">
        <v>999.99999986331602</v>
      </c>
      <c r="H17" s="196">
        <v>744</v>
      </c>
      <c r="I17" s="196">
        <v>33.2500000001111</v>
      </c>
      <c r="J17" s="202">
        <v>38.92189086946</v>
      </c>
      <c r="K17" s="202">
        <v>0</v>
      </c>
      <c r="L17" s="202">
        <v>0</v>
      </c>
      <c r="M17" s="202">
        <v>0</v>
      </c>
      <c r="N17" s="202">
        <v>33.249999995566299</v>
      </c>
      <c r="O17" s="202">
        <f t="shared" si="0"/>
        <v>33.249999995566313</v>
      </c>
      <c r="P17" s="202">
        <f t="shared" si="1"/>
        <v>38.92189086946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4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17.00753424669</v>
      </c>
      <c r="M18" s="202">
        <v>0</v>
      </c>
      <c r="N18" s="202">
        <v>0</v>
      </c>
      <c r="O18" s="202">
        <f t="shared" si="0"/>
        <v>0</v>
      </c>
      <c r="P18" s="202">
        <f t="shared" si="1"/>
        <v>17.00753424669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4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45.056164383430001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45.056164383430001</v>
      </c>
    </row>
    <row r="20" spans="1:16" x14ac:dyDescent="0.25">
      <c r="A20" s="196">
        <v>18</v>
      </c>
      <c r="B20" s="197" t="s">
        <v>204</v>
      </c>
      <c r="C20" s="198">
        <v>-9.7245068716399992</v>
      </c>
      <c r="D20" s="196">
        <v>1.30705737522043</v>
      </c>
      <c r="E20" s="196"/>
      <c r="F20" s="196"/>
      <c r="G20" s="196"/>
      <c r="H20" s="196"/>
      <c r="I20" s="196"/>
      <c r="J20" s="203">
        <v>-235.81929163756001</v>
      </c>
      <c r="O20" s="202">
        <f t="shared" si="0"/>
        <v>24.250000000029825</v>
      </c>
      <c r="P20" s="202">
        <f t="shared" si="1"/>
        <v>-235.81929163756001</v>
      </c>
    </row>
    <row r="21" spans="1:16" s="196" customFormat="1" x14ac:dyDescent="0.25">
      <c r="A21" s="196">
        <v>19</v>
      </c>
      <c r="B21" s="197" t="s">
        <v>205</v>
      </c>
      <c r="C21" s="198">
        <v>48.042825478380003</v>
      </c>
      <c r="D21" s="196">
        <v>25.829476063645199</v>
      </c>
      <c r="E21" s="196">
        <v>1</v>
      </c>
      <c r="F21" s="196">
        <v>48.042825478499999</v>
      </c>
      <c r="G21" s="196">
        <v>1000.0000000025</v>
      </c>
      <c r="H21" s="196">
        <v>544</v>
      </c>
      <c r="I21" s="196">
        <v>24.2500000000007</v>
      </c>
      <c r="J21" s="202">
        <v>1165.0385178536601</v>
      </c>
      <c r="K21" s="202">
        <v>0</v>
      </c>
      <c r="L21" s="202">
        <v>0</v>
      </c>
      <c r="M21" s="202">
        <v>0</v>
      </c>
      <c r="N21" s="202">
        <v>24.250000000061299</v>
      </c>
      <c r="O21" s="202">
        <f t="shared" si="0"/>
        <v>24.250000000061299</v>
      </c>
      <c r="P21" s="202">
        <f t="shared" si="1"/>
        <v>1165.0385178536601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9">
        <v>0</v>
      </c>
      <c r="E22" s="200">
        <v>0</v>
      </c>
      <c r="F22" s="201">
        <v>0</v>
      </c>
      <c r="G22" s="200">
        <v>0</v>
      </c>
      <c r="H22" s="200">
        <v>0</v>
      </c>
      <c r="I22" s="202">
        <v>0</v>
      </c>
      <c r="J22" s="202">
        <v>0</v>
      </c>
      <c r="K22" s="202">
        <v>0</v>
      </c>
      <c r="L22" s="202">
        <v>10.82876712319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10.82876712319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6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202">
        <v>0</v>
      </c>
      <c r="K23" s="202">
        <v>0</v>
      </c>
      <c r="L23" s="202">
        <v>10.191780821989999</v>
      </c>
      <c r="M23" s="202">
        <v>0</v>
      </c>
      <c r="N23" s="202">
        <v>0</v>
      </c>
      <c r="O23" s="202">
        <f t="shared" si="0"/>
        <v>0</v>
      </c>
      <c r="P23" s="202">
        <f t="shared" si="1"/>
        <v>10.191780821989999</v>
      </c>
    </row>
    <row r="24" spans="1:16" s="196" customFormat="1" x14ac:dyDescent="0.25">
      <c r="A24" s="196">
        <v>22</v>
      </c>
      <c r="B24" s="197" t="s">
        <v>208</v>
      </c>
      <c r="C24" s="198">
        <v>5.3544841999999999</v>
      </c>
      <c r="D24" s="196">
        <v>36.6626967172257</v>
      </c>
      <c r="E24" s="196">
        <v>299</v>
      </c>
      <c r="F24" s="196">
        <v>0</v>
      </c>
      <c r="G24" s="196">
        <v>0</v>
      </c>
      <c r="H24" s="196">
        <v>665</v>
      </c>
      <c r="I24" s="196">
        <v>0</v>
      </c>
      <c r="J24" s="202">
        <v>0</v>
      </c>
      <c r="K24" s="202">
        <v>0</v>
      </c>
      <c r="L24" s="202">
        <v>35.967207330119997</v>
      </c>
      <c r="M24" s="202">
        <v>0</v>
      </c>
      <c r="N24" s="202">
        <v>0</v>
      </c>
      <c r="O24" s="202">
        <f t="shared" si="0"/>
        <v>6.7172123376739066</v>
      </c>
      <c r="P24" s="202">
        <f t="shared" si="1"/>
        <v>35.967207330119997</v>
      </c>
    </row>
    <row r="25" spans="1:16" s="196" customFormat="1" x14ac:dyDescent="0.25">
      <c r="A25" s="196">
        <v>23</v>
      </c>
      <c r="B25" s="197" t="s">
        <v>209</v>
      </c>
      <c r="C25" s="198">
        <v>7.8936000000000002</v>
      </c>
      <c r="D25" s="196">
        <v>35.1313821832942</v>
      </c>
      <c r="E25" s="196">
        <v>660</v>
      </c>
      <c r="F25" s="196">
        <v>0</v>
      </c>
      <c r="G25" s="196">
        <v>0</v>
      </c>
      <c r="H25" s="196">
        <v>650</v>
      </c>
      <c r="I25" s="196">
        <v>0</v>
      </c>
      <c r="J25" s="202">
        <v>0</v>
      </c>
      <c r="K25" s="202">
        <v>0</v>
      </c>
      <c r="L25" s="202">
        <v>52.166551660240003</v>
      </c>
      <c r="M25" s="202">
        <v>0</v>
      </c>
      <c r="N25" s="202">
        <v>0</v>
      </c>
      <c r="O25" s="202">
        <f t="shared" si="0"/>
        <v>6.6087148652376611</v>
      </c>
      <c r="P25" s="202">
        <f t="shared" si="1"/>
        <v>52.166551660240003</v>
      </c>
    </row>
    <row r="26" spans="1:16" s="196" customFormat="1" x14ac:dyDescent="0.25">
      <c r="A26" s="196">
        <v>24</v>
      </c>
      <c r="B26" s="197" t="s">
        <v>210</v>
      </c>
      <c r="C26" s="198">
        <v>3.1248</v>
      </c>
      <c r="D26" s="196">
        <v>87.500000000000099</v>
      </c>
      <c r="E26" s="196">
        <v>0</v>
      </c>
      <c r="F26" s="196">
        <v>3.1248</v>
      </c>
      <c r="G26" s="196">
        <v>1000</v>
      </c>
      <c r="H26" s="196">
        <v>744</v>
      </c>
      <c r="I26" s="196">
        <v>7.77</v>
      </c>
      <c r="J26" s="202">
        <v>24.279696000000001</v>
      </c>
      <c r="K26" s="202">
        <v>0</v>
      </c>
      <c r="L26" s="202">
        <v>48.703520087649999</v>
      </c>
      <c r="M26" s="202">
        <v>0</v>
      </c>
      <c r="N26" s="202">
        <v>7.77</v>
      </c>
      <c r="O26" s="202">
        <f t="shared" si="0"/>
        <v>23.356123939980158</v>
      </c>
      <c r="P26" s="202">
        <f t="shared" si="1"/>
        <v>72.983216087649993</v>
      </c>
    </row>
    <row r="27" spans="1:16" x14ac:dyDescent="0.25">
      <c r="A27" s="196">
        <v>25</v>
      </c>
      <c r="B27" s="197" t="s">
        <v>211</v>
      </c>
      <c r="C27" s="198">
        <v>48.670127999999998</v>
      </c>
      <c r="D27" s="196">
        <v>43.6112258064516</v>
      </c>
      <c r="E27" s="196">
        <v>1140</v>
      </c>
      <c r="F27" s="196">
        <v>0</v>
      </c>
      <c r="G27" s="196">
        <v>0</v>
      </c>
      <c r="H27" s="196">
        <v>707</v>
      </c>
      <c r="I27" s="196">
        <v>0</v>
      </c>
      <c r="J27" s="203">
        <v>0</v>
      </c>
      <c r="K27" s="203">
        <v>0</v>
      </c>
      <c r="L27" s="203">
        <v>268.73687671235001</v>
      </c>
      <c r="M27" s="203">
        <v>0</v>
      </c>
      <c r="N27" s="202">
        <v>0</v>
      </c>
      <c r="O27" s="202">
        <f t="shared" si="0"/>
        <v>5.5215979031809823</v>
      </c>
      <c r="P27" s="202">
        <f t="shared" si="1"/>
        <v>268.73687671235001</v>
      </c>
    </row>
    <row r="28" spans="1:16" x14ac:dyDescent="0.25">
      <c r="B28" s="197" t="s">
        <v>212</v>
      </c>
      <c r="C28" s="198">
        <f>SUM(C3:C27)</f>
        <v>291.59100500010999</v>
      </c>
      <c r="D28" s="196"/>
      <c r="E28" s="196"/>
      <c r="F28" s="196"/>
      <c r="G28" s="196"/>
      <c r="H28" s="196"/>
      <c r="I28" s="196"/>
      <c r="J28" s="203">
        <f t="shared" ref="J28:P28" si="2">SUM(J3:J27)</f>
        <v>5946.0199338662796</v>
      </c>
      <c r="K28" s="203">
        <f t="shared" si="2"/>
        <v>0</v>
      </c>
      <c r="L28" s="203">
        <f t="shared" si="2"/>
        <v>2327.0408281382502</v>
      </c>
      <c r="M28" s="203">
        <f t="shared" si="2"/>
        <v>1026.8622062102302</v>
      </c>
      <c r="N28" s="202">
        <f>(J28+M28)/C28</f>
        <v>23.91322784485029</v>
      </c>
      <c r="O28" s="202">
        <f t="shared" si="0"/>
        <v>31.893723773170759</v>
      </c>
      <c r="P28" s="202">
        <f t="shared" si="2"/>
        <v>9299.9229682147616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DAY("3/31/2020") * 24</f>
        <v>744</v>
      </c>
      <c r="D43" s="213">
        <f>IF($C$44=0,0,C43/$C$44)</f>
        <v>1</v>
      </c>
      <c r="E43" s="236">
        <v>24.242649647887301</v>
      </c>
      <c r="F43" s="236"/>
    </row>
    <row r="44" spans="1:21" x14ac:dyDescent="0.25">
      <c r="A44" s="214"/>
      <c r="B44" s="204" t="s">
        <v>212</v>
      </c>
      <c r="C44" s="200">
        <f>SUM(C41:C43)</f>
        <v>744</v>
      </c>
      <c r="D44" s="215">
        <f>SUM(D41:D43)</f>
        <v>1</v>
      </c>
      <c r="E44" s="237">
        <f>E41*D41+E42*D42+E43*D43</f>
        <v>24.242649647887301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68.740717500000002</v>
      </c>
      <c r="D52" s="202">
        <v>1.7849191316666699</v>
      </c>
      <c r="E52" s="202">
        <v>1290.54153792441</v>
      </c>
      <c r="F52" s="201">
        <v>723.02521444298998</v>
      </c>
      <c r="G52" s="202">
        <v>5.6314703388099998</v>
      </c>
      <c r="H52" s="202">
        <v>43740.182361947365</v>
      </c>
      <c r="I52" s="202">
        <f>IF(F52=0,0,J52/F52)</f>
        <v>1.7927078922991313</v>
      </c>
      <c r="J52" s="202">
        <f>$E52+$G52</f>
        <v>1296.17300826322</v>
      </c>
    </row>
    <row r="53" spans="1:16" s="196" customFormat="1" x14ac:dyDescent="0.25">
      <c r="A53" s="196">
        <v>2</v>
      </c>
      <c r="B53" s="197" t="s">
        <v>230</v>
      </c>
      <c r="C53" s="198">
        <v>50.986305781650003</v>
      </c>
      <c r="D53" s="202">
        <v>1.9367654516666699</v>
      </c>
      <c r="E53" s="202">
        <v>1161.8422051293801</v>
      </c>
      <c r="F53" s="201">
        <v>599.88792353119004</v>
      </c>
      <c r="G53" s="202">
        <v>2.84046188139</v>
      </c>
      <c r="H53" s="202">
        <v>43470.139386318115</v>
      </c>
      <c r="I53" s="202">
        <f t="shared" ref="I53:I69" si="3">IF(F53=0,0,J53/F53)</f>
        <v>1.9415004392069823</v>
      </c>
      <c r="J53" s="202">
        <f t="shared" ref="J53:J69" si="4">$E53+$G53</f>
        <v>1164.68266701077</v>
      </c>
    </row>
    <row r="54" spans="1:16" s="196" customFormat="1" x14ac:dyDescent="0.25">
      <c r="A54" s="196">
        <v>3</v>
      </c>
      <c r="B54" s="197" t="s">
        <v>231</v>
      </c>
      <c r="C54" s="198">
        <v>4.5359999999999996</v>
      </c>
      <c r="D54" s="202">
        <v>3.06753034458333</v>
      </c>
      <c r="E54" s="202">
        <v>287.18131173651</v>
      </c>
      <c r="F54" s="201">
        <v>93.619713409379997</v>
      </c>
      <c r="G54" s="202">
        <v>11.980878681689999</v>
      </c>
      <c r="H54" s="202">
        <v>6668.0707556538464</v>
      </c>
      <c r="I54" s="202">
        <f t="shared" si="3"/>
        <v>3.195504232212552</v>
      </c>
      <c r="J54" s="202">
        <f t="shared" si="4"/>
        <v>299.1621904182</v>
      </c>
    </row>
    <row r="55" spans="1:16" s="196" customFormat="1" x14ac:dyDescent="0.25">
      <c r="A55" s="196">
        <v>4</v>
      </c>
      <c r="B55" s="197" t="s">
        <v>232</v>
      </c>
      <c r="C55" s="198">
        <v>37.166519999999998</v>
      </c>
      <c r="D55" s="202">
        <v>3.07179737458334</v>
      </c>
      <c r="E55" s="202">
        <v>1472.9157717144899</v>
      </c>
      <c r="F55" s="201">
        <v>479.49639643898001</v>
      </c>
      <c r="G55" s="202">
        <v>61.36301794549</v>
      </c>
      <c r="H55" s="202">
        <v>34152.164988531338</v>
      </c>
      <c r="I55" s="202">
        <f t="shared" si="3"/>
        <v>3.1997712622126655</v>
      </c>
      <c r="J55" s="202">
        <f t="shared" si="4"/>
        <v>1534.2787896599798</v>
      </c>
    </row>
    <row r="56" spans="1:16" s="196" customFormat="1" x14ac:dyDescent="0.25">
      <c r="A56" s="196">
        <v>5</v>
      </c>
      <c r="B56" s="197" t="s">
        <v>233</v>
      </c>
      <c r="C56" s="198">
        <v>25.227700800000001</v>
      </c>
      <c r="D56" s="202">
        <v>2.01333391208333</v>
      </c>
      <c r="E56" s="202">
        <v>673.04195030685901</v>
      </c>
      <c r="F56" s="201">
        <v>334.29226330110998</v>
      </c>
      <c r="G56" s="202">
        <v>15.81565522026</v>
      </c>
      <c r="H56" s="202">
        <v>25191.579751402413</v>
      </c>
      <c r="I56" s="202">
        <f t="shared" si="3"/>
        <v>2.0606447744997269</v>
      </c>
      <c r="J56" s="202">
        <f t="shared" si="4"/>
        <v>688.85760552711906</v>
      </c>
    </row>
    <row r="57" spans="1:16" s="196" customFormat="1" x14ac:dyDescent="0.25">
      <c r="A57" s="196">
        <v>6</v>
      </c>
      <c r="B57" s="197" t="s">
        <v>234</v>
      </c>
      <c r="C57" s="198">
        <v>3.3480000000000003E-2</v>
      </c>
      <c r="D57" s="202">
        <v>3.2768701629166701</v>
      </c>
      <c r="E57" s="202">
        <v>1.4153965482699999</v>
      </c>
      <c r="F57" s="201">
        <v>0.43193549888999999</v>
      </c>
      <c r="G57" s="202">
        <v>0</v>
      </c>
      <c r="H57" s="202">
        <v>387.73384101436267</v>
      </c>
      <c r="I57" s="202">
        <f t="shared" si="3"/>
        <v>3.2768701621129215</v>
      </c>
      <c r="J57" s="202">
        <f t="shared" si="4"/>
        <v>1.4153965482699999</v>
      </c>
    </row>
    <row r="58" spans="1:16" s="196" customFormat="1" x14ac:dyDescent="0.25">
      <c r="A58" s="196">
        <v>7</v>
      </c>
      <c r="B58" s="197" t="s">
        <v>235</v>
      </c>
      <c r="C58" s="198">
        <v>6.8299200000000004E-2</v>
      </c>
      <c r="D58" s="202">
        <v>2.2485355650000001</v>
      </c>
      <c r="E58" s="202">
        <v>2.0349982116000001</v>
      </c>
      <c r="F58" s="201">
        <v>0.90503269919999996</v>
      </c>
      <c r="G58" s="202">
        <v>0</v>
      </c>
      <c r="H58" s="202">
        <v>748.57956923076915</v>
      </c>
      <c r="I58" s="202">
        <f t="shared" si="3"/>
        <v>2.2485355649567453</v>
      </c>
      <c r="J58" s="202">
        <f t="shared" si="4"/>
        <v>2.0349982116000001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0.17228250000000001</v>
      </c>
      <c r="D67" s="202">
        <v>18.714285709999999</v>
      </c>
      <c r="E67" s="202">
        <v>33.912031174500001</v>
      </c>
      <c r="F67" s="201">
        <v>1.81209326929</v>
      </c>
      <c r="G67" s="202">
        <v>0</v>
      </c>
      <c r="H67" s="202">
        <v>12943.523352071428</v>
      </c>
      <c r="I67" s="202">
        <f t="shared" si="3"/>
        <v>18.714285709911138</v>
      </c>
      <c r="J67" s="202">
        <f t="shared" si="4"/>
        <v>33.912031174500001</v>
      </c>
    </row>
    <row r="68" spans="1:21" s="196" customFormat="1" x14ac:dyDescent="0.25">
      <c r="A68" s="196">
        <v>17</v>
      </c>
      <c r="B68" s="197" t="s">
        <v>242</v>
      </c>
      <c r="C68" s="198">
        <v>0.12778522751999999</v>
      </c>
      <c r="D68" s="202">
        <v>20.428571430000002</v>
      </c>
      <c r="E68" s="202">
        <v>30.713918034700001</v>
      </c>
      <c r="F68" s="201">
        <v>1.5034785050799999</v>
      </c>
      <c r="G68" s="202">
        <v>0</v>
      </c>
      <c r="H68" s="202">
        <v>10739.132179142855</v>
      </c>
      <c r="I68" s="202">
        <f t="shared" si="3"/>
        <v>20.428571430135424</v>
      </c>
      <c r="J68" s="202">
        <f t="shared" si="4"/>
        <v>30.713918034700001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3/1/2020&amp;CMontana-Dakota Utility Co.
Plexos V6.400
Plexos by Month - 2020 Operating Plan - Base Model - V-1 - Run 1&amp;RPage 5
8/21/2019
11:08:38 AM</oddHeader>
    <oddFooter>&amp;RPage 5
8/21/2019
11:08:38 AM&amp;C
Plexos V6.400
Plexos by Month - 2020 Operating Plan - Base Model - V-1 - Run 1&amp;L
Month Beginning: 3/1/2020</oddFooter>
    <evenHeader>&amp;L
Month Beginning: 3/1/2020&amp;CMontana-Dakota Utility Co.
Plexos V6.400
Plexos by Month - 2020 Operating Plan - Base Model - V-1 - Run 1&amp;RPage 6
8/21/2019
11:08:38 AM</evenHeader>
    <evenFooter>&amp;RPage 6
8/21/2019
11:08:38 AM&amp;C
Plexos V6.400
Plexos by Month - 2020 Operating Plan - Base Model - V-1 - Run 1&amp;L
Month Beginning: 3/1/2020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0D9E-D795-45EB-828E-22E70FF2428F}">
  <dimension ref="A1:U77"/>
  <sheetViews>
    <sheetView view="pageLayout" zoomScaleNormal="100" workbookViewId="0"/>
  </sheetViews>
  <sheetFormatPr defaultRowHeight="15" x14ac:dyDescent="0.25"/>
  <cols>
    <col min="1" max="1" width="3.5" style="204" customWidth="1"/>
    <col min="2" max="2" width="14.625" style="204" customWidth="1"/>
    <col min="3" max="3" width="9" style="198" customWidth="1"/>
    <col min="4" max="4" width="8.125" style="199" bestFit="1" customWidth="1"/>
    <col min="5" max="5" width="7.25" style="201" customWidth="1"/>
    <col min="6" max="6" width="10.75" style="202" bestFit="1" customWidth="1"/>
    <col min="7" max="7" width="8.375" style="201" customWidth="1"/>
    <col min="8" max="8" width="8.625" style="204" customWidth="1"/>
    <col min="9" max="9" width="9.5" style="203" customWidth="1"/>
    <col min="10" max="10" width="8.5" style="203" bestFit="1" customWidth="1"/>
    <col min="11" max="11" width="8.875" style="203" bestFit="1" customWidth="1"/>
    <col min="12" max="12" width="8.125" style="203" customWidth="1"/>
    <col min="13" max="13" width="7.5" style="203" bestFit="1" customWidth="1"/>
    <col min="14" max="14" width="9.125" style="202" customWidth="1"/>
    <col min="15" max="15" width="6.625" style="202" customWidth="1"/>
    <col min="16" max="16" width="9.25" style="202" bestFit="1" customWidth="1"/>
    <col min="17" max="21" width="9.5" style="196" customWidth="1"/>
    <col min="22" max="16384" width="9" style="204"/>
  </cols>
  <sheetData>
    <row r="1" spans="1:16" s="181" customFormat="1" ht="45.75" thickTop="1" x14ac:dyDescent="0.25">
      <c r="A1" s="181" t="s">
        <v>163</v>
      </c>
      <c r="B1" s="182" t="s">
        <v>164</v>
      </c>
      <c r="C1" s="183" t="s">
        <v>165</v>
      </c>
      <c r="D1" s="184" t="s">
        <v>166</v>
      </c>
      <c r="E1" s="185" t="s">
        <v>167</v>
      </c>
      <c r="F1" s="186" t="s">
        <v>168</v>
      </c>
      <c r="G1" s="185" t="s">
        <v>169</v>
      </c>
      <c r="H1" s="182" t="s">
        <v>170</v>
      </c>
      <c r="I1" s="187" t="s">
        <v>171</v>
      </c>
      <c r="J1" s="187" t="s">
        <v>172</v>
      </c>
      <c r="K1" s="187" t="s">
        <v>173</v>
      </c>
      <c r="L1" s="187" t="s">
        <v>174</v>
      </c>
      <c r="M1" s="187" t="s">
        <v>175</v>
      </c>
      <c r="N1" s="182" t="s">
        <v>176</v>
      </c>
      <c r="O1" s="182" t="s">
        <v>177</v>
      </c>
      <c r="P1" s="182" t="s">
        <v>177</v>
      </c>
    </row>
    <row r="2" spans="1:16" s="195" customFormat="1" ht="15.75" thickBot="1" x14ac:dyDescent="0.3">
      <c r="A2" s="188" t="s">
        <v>178</v>
      </c>
      <c r="B2" s="188" t="s">
        <v>179</v>
      </c>
      <c r="C2" s="189" t="s">
        <v>180</v>
      </c>
      <c r="D2" s="190" t="s">
        <v>181</v>
      </c>
      <c r="E2" s="191" t="s">
        <v>178</v>
      </c>
      <c r="F2" s="188" t="s">
        <v>182</v>
      </c>
      <c r="G2" s="191" t="s">
        <v>183</v>
      </c>
      <c r="H2" s="188" t="s">
        <v>184</v>
      </c>
      <c r="I2" s="192" t="s">
        <v>185</v>
      </c>
      <c r="J2" s="193" t="s">
        <v>186</v>
      </c>
      <c r="K2" s="193" t="s">
        <v>186</v>
      </c>
      <c r="L2" s="193" t="s">
        <v>186</v>
      </c>
      <c r="M2" s="193" t="s">
        <v>186</v>
      </c>
      <c r="N2" s="188" t="s">
        <v>3</v>
      </c>
      <c r="O2" s="188" t="s">
        <v>3</v>
      </c>
      <c r="P2" s="194" t="s">
        <v>186</v>
      </c>
    </row>
    <row r="3" spans="1:16" s="196" customFormat="1" x14ac:dyDescent="0.25">
      <c r="A3" s="196">
        <v>1</v>
      </c>
      <c r="B3" s="197" t="s">
        <v>187</v>
      </c>
      <c r="C3" s="198">
        <v>54.52825</v>
      </c>
      <c r="D3" s="199">
        <v>69.800627240143399</v>
      </c>
      <c r="E3" s="200">
        <v>0</v>
      </c>
      <c r="F3" s="201">
        <v>574.86907349964997</v>
      </c>
      <c r="G3" s="200">
        <v>10542.591656611899</v>
      </c>
      <c r="H3" s="200">
        <v>720</v>
      </c>
      <c r="I3" s="202">
        <v>1.8272425480954</v>
      </c>
      <c r="J3" s="202">
        <v>1050.42523068274</v>
      </c>
      <c r="K3" s="202">
        <v>0</v>
      </c>
      <c r="L3" s="202">
        <v>223.32323136989999</v>
      </c>
      <c r="M3" s="202">
        <v>249.87406977750001</v>
      </c>
      <c r="N3" s="202">
        <v>23.846342042156799</v>
      </c>
      <c r="O3" s="202">
        <f>IF(C3=0,0,IF(P3/C3&gt;9999,TEXT(P3/C3,"0.00E+00"),P3/C3))</f>
        <v>27.94189308899772</v>
      </c>
      <c r="P3" s="202">
        <f>SUM(J3:M3)</f>
        <v>1523.6225318301399</v>
      </c>
    </row>
    <row r="4" spans="1:16" s="196" customFormat="1" x14ac:dyDescent="0.25">
      <c r="A4" s="196">
        <v>2</v>
      </c>
      <c r="B4" s="196" t="s">
        <v>188</v>
      </c>
      <c r="C4" s="198">
        <v>32.40605</v>
      </c>
      <c r="D4" s="199">
        <v>42.024652453573999</v>
      </c>
      <c r="E4" s="200">
        <v>1</v>
      </c>
      <c r="F4" s="201">
        <v>426.0637887835</v>
      </c>
      <c r="G4" s="200">
        <v>13147.661895957701</v>
      </c>
      <c r="H4" s="200">
        <v>648</v>
      </c>
      <c r="I4" s="202">
        <v>1.98299496654962</v>
      </c>
      <c r="J4" s="202">
        <v>844.88234858674002</v>
      </c>
      <c r="K4" s="202">
        <v>0</v>
      </c>
      <c r="L4" s="202">
        <v>328.3458889314</v>
      </c>
      <c r="M4" s="202">
        <v>117.825157195</v>
      </c>
      <c r="N4" s="202">
        <v>29.7076473615803</v>
      </c>
      <c r="O4" s="202">
        <f t="shared" ref="O4:O28" si="0">IF(C4=0,0,IF(P4/C4&gt;9999,TEXT(P4/C4,"0.00E+00"),P4/C4))</f>
        <v>39.839887759018453</v>
      </c>
      <c r="P4" s="202">
        <f t="shared" ref="P4:P27" si="1">SUM(J4:M4)</f>
        <v>1291.0533947131401</v>
      </c>
    </row>
    <row r="5" spans="1:16" s="196" customFormat="1" x14ac:dyDescent="0.25">
      <c r="A5" s="196">
        <v>3</v>
      </c>
      <c r="B5" s="197" t="s">
        <v>189</v>
      </c>
      <c r="C5" s="198">
        <v>4.032</v>
      </c>
      <c r="D5" s="199">
        <v>21.455938697318</v>
      </c>
      <c r="E5" s="200">
        <v>2</v>
      </c>
      <c r="F5" s="201">
        <v>83.217523030560002</v>
      </c>
      <c r="G5" s="200">
        <v>20639.2666246429</v>
      </c>
      <c r="H5" s="200">
        <v>576</v>
      </c>
      <c r="I5" s="202">
        <v>3.06753034460526</v>
      </c>
      <c r="J5" s="202">
        <v>255.27227709913001</v>
      </c>
      <c r="K5" s="202">
        <v>2</v>
      </c>
      <c r="L5" s="202">
        <v>190.05323523300001</v>
      </c>
      <c r="M5" s="202">
        <v>24.53153472</v>
      </c>
      <c r="N5" s="202">
        <v>69.395786661490604</v>
      </c>
      <c r="O5" s="202">
        <f t="shared" si="0"/>
        <v>117.0280374633259</v>
      </c>
      <c r="P5" s="202">
        <f t="shared" si="1"/>
        <v>471.85704705213004</v>
      </c>
    </row>
    <row r="6" spans="1:16" s="196" customFormat="1" x14ac:dyDescent="0.25">
      <c r="A6" s="196">
        <v>4</v>
      </c>
      <c r="B6" s="197" t="s">
        <v>190</v>
      </c>
      <c r="C6" s="198">
        <v>3.6</v>
      </c>
      <c r="D6" s="199">
        <v>6.6755674232309801</v>
      </c>
      <c r="E6" s="200">
        <v>0</v>
      </c>
      <c r="F6" s="201">
        <v>46.444677284310004</v>
      </c>
      <c r="G6" s="200">
        <v>12901.2992456417</v>
      </c>
      <c r="H6" s="200">
        <v>72</v>
      </c>
      <c r="I6" s="202">
        <v>3.07198194011522</v>
      </c>
      <c r="J6" s="202">
        <v>142.67720983187999</v>
      </c>
      <c r="K6" s="202">
        <v>0</v>
      </c>
      <c r="L6" s="202">
        <v>345.74114975340001</v>
      </c>
      <c r="M6" s="202">
        <v>25.948584</v>
      </c>
      <c r="N6" s="202">
        <v>46.840498286633299</v>
      </c>
      <c r="O6" s="202">
        <f t="shared" si="0"/>
        <v>142.87970655146665</v>
      </c>
      <c r="P6" s="202">
        <f t="shared" si="1"/>
        <v>514.36694358527996</v>
      </c>
    </row>
    <row r="7" spans="1:16" s="196" customFormat="1" x14ac:dyDescent="0.25">
      <c r="A7" s="196">
        <v>5</v>
      </c>
      <c r="B7" s="197" t="s">
        <v>191</v>
      </c>
      <c r="C7" s="198">
        <v>24.48</v>
      </c>
      <c r="D7" s="199">
        <v>72.340425531914903</v>
      </c>
      <c r="E7" s="200">
        <v>0</v>
      </c>
      <c r="F7" s="201">
        <v>324.38448000030002</v>
      </c>
      <c r="G7" s="200">
        <v>13251.0000000123</v>
      </c>
      <c r="H7" s="200">
        <v>720</v>
      </c>
      <c r="I7" s="202">
        <v>2.0139689567121</v>
      </c>
      <c r="J7" s="202">
        <v>653.30027275980001</v>
      </c>
      <c r="K7" s="202">
        <v>0</v>
      </c>
      <c r="L7" s="202">
        <v>365.44642684920001</v>
      </c>
      <c r="M7" s="202">
        <v>222.08843519999999</v>
      </c>
      <c r="N7" s="202">
        <v>35.759342645416702</v>
      </c>
      <c r="O7" s="202">
        <f t="shared" si="0"/>
        <v>50.687709755269609</v>
      </c>
      <c r="P7" s="202">
        <f t="shared" si="1"/>
        <v>1240.835134809</v>
      </c>
    </row>
    <row r="8" spans="1:16" s="196" customFormat="1" x14ac:dyDescent="0.25">
      <c r="A8" s="196">
        <v>6</v>
      </c>
      <c r="B8" s="197" t="s">
        <v>192</v>
      </c>
      <c r="C8" s="198">
        <v>0</v>
      </c>
      <c r="D8" s="199">
        <v>0</v>
      </c>
      <c r="E8" s="200">
        <v>0</v>
      </c>
      <c r="F8" s="201">
        <v>0</v>
      </c>
      <c r="G8" s="200">
        <v>0</v>
      </c>
      <c r="H8" s="200">
        <v>0</v>
      </c>
      <c r="I8" s="202">
        <v>0</v>
      </c>
      <c r="J8" s="202">
        <v>0</v>
      </c>
      <c r="K8" s="202">
        <v>0</v>
      </c>
      <c r="L8" s="202">
        <v>0</v>
      </c>
      <c r="M8" s="202">
        <v>0</v>
      </c>
      <c r="N8" s="202">
        <v>0</v>
      </c>
      <c r="O8" s="202">
        <f t="shared" si="0"/>
        <v>0</v>
      </c>
      <c r="P8" s="202">
        <f t="shared" si="1"/>
        <v>0</v>
      </c>
    </row>
    <row r="9" spans="1:16" s="196" customFormat="1" x14ac:dyDescent="0.25">
      <c r="A9" s="196">
        <v>7</v>
      </c>
      <c r="B9" s="197" t="s">
        <v>193</v>
      </c>
      <c r="C9" s="198">
        <v>0</v>
      </c>
      <c r="D9" s="199">
        <v>0</v>
      </c>
      <c r="E9" s="200">
        <v>0</v>
      </c>
      <c r="F9" s="201">
        <v>0</v>
      </c>
      <c r="G9" s="200">
        <v>0</v>
      </c>
      <c r="H9" s="200">
        <v>0</v>
      </c>
      <c r="I9" s="202">
        <v>0</v>
      </c>
      <c r="J9" s="202">
        <v>0</v>
      </c>
      <c r="K9" s="202">
        <v>0</v>
      </c>
      <c r="L9" s="202">
        <v>12.624647917800001</v>
      </c>
      <c r="M9" s="202">
        <v>0</v>
      </c>
      <c r="N9" s="202">
        <v>0</v>
      </c>
      <c r="O9" s="202">
        <f t="shared" si="0"/>
        <v>0</v>
      </c>
      <c r="P9" s="202">
        <f t="shared" si="1"/>
        <v>12.624647917800001</v>
      </c>
    </row>
    <row r="10" spans="1:16" s="196" customFormat="1" x14ac:dyDescent="0.25">
      <c r="A10" s="196">
        <v>8</v>
      </c>
      <c r="B10" s="197" t="s">
        <v>194</v>
      </c>
      <c r="C10" s="198">
        <v>0</v>
      </c>
      <c r="D10" s="199">
        <v>0</v>
      </c>
      <c r="E10" s="200">
        <v>0</v>
      </c>
      <c r="F10" s="201">
        <v>0</v>
      </c>
      <c r="G10" s="200">
        <v>0</v>
      </c>
      <c r="H10" s="200">
        <v>0</v>
      </c>
      <c r="I10" s="202">
        <v>0</v>
      </c>
      <c r="J10" s="202">
        <v>0</v>
      </c>
      <c r="K10" s="202">
        <v>0</v>
      </c>
      <c r="L10" s="202">
        <v>25.965016027499999</v>
      </c>
      <c r="M10" s="202">
        <v>0</v>
      </c>
      <c r="N10" s="202">
        <v>0</v>
      </c>
      <c r="O10" s="202">
        <f t="shared" si="0"/>
        <v>0</v>
      </c>
      <c r="P10" s="202">
        <f t="shared" si="1"/>
        <v>25.965016027499999</v>
      </c>
    </row>
    <row r="11" spans="1:16" s="196" customFormat="1" x14ac:dyDescent="0.25">
      <c r="A11" s="196">
        <v>9</v>
      </c>
      <c r="B11" s="197" t="s">
        <v>195</v>
      </c>
      <c r="C11" s="198">
        <v>0</v>
      </c>
      <c r="D11" s="199">
        <v>0</v>
      </c>
      <c r="E11" s="200">
        <v>0</v>
      </c>
      <c r="F11" s="201">
        <v>0</v>
      </c>
      <c r="G11" s="200">
        <v>0</v>
      </c>
      <c r="H11" s="200">
        <v>0</v>
      </c>
      <c r="I11" s="202">
        <v>0</v>
      </c>
      <c r="J11" s="202">
        <v>0</v>
      </c>
      <c r="K11" s="202">
        <v>0</v>
      </c>
      <c r="L11" s="202">
        <v>2.6591608767000001</v>
      </c>
      <c r="M11" s="202">
        <v>0</v>
      </c>
      <c r="N11" s="202">
        <v>0</v>
      </c>
      <c r="O11" s="202">
        <f t="shared" si="0"/>
        <v>0</v>
      </c>
      <c r="P11" s="202">
        <f t="shared" si="1"/>
        <v>2.6591608767000001</v>
      </c>
    </row>
    <row r="12" spans="1:16" s="196" customFormat="1" x14ac:dyDescent="0.25">
      <c r="A12" s="196">
        <v>10</v>
      </c>
      <c r="B12" s="197" t="s">
        <v>196</v>
      </c>
      <c r="C12" s="198">
        <v>0</v>
      </c>
      <c r="D12" s="199">
        <v>0</v>
      </c>
      <c r="E12" s="200">
        <v>0</v>
      </c>
      <c r="F12" s="201">
        <v>0</v>
      </c>
      <c r="G12" s="200">
        <v>0</v>
      </c>
      <c r="H12" s="200">
        <v>0</v>
      </c>
      <c r="I12" s="202">
        <v>0</v>
      </c>
      <c r="J12" s="202">
        <v>0</v>
      </c>
      <c r="K12" s="202">
        <v>0</v>
      </c>
      <c r="L12" s="202">
        <v>218.34742553429999</v>
      </c>
      <c r="M12" s="202">
        <v>0</v>
      </c>
      <c r="N12" s="202">
        <v>0</v>
      </c>
      <c r="O12" s="202">
        <f t="shared" si="0"/>
        <v>0</v>
      </c>
      <c r="P12" s="202">
        <f t="shared" si="1"/>
        <v>218.34742553429999</v>
      </c>
    </row>
    <row r="13" spans="1:16" s="196" customFormat="1" x14ac:dyDescent="0.25">
      <c r="A13" s="196">
        <v>11</v>
      </c>
      <c r="B13" s="197" t="s">
        <v>197</v>
      </c>
      <c r="C13" s="198">
        <v>0</v>
      </c>
      <c r="D13" s="199">
        <v>0</v>
      </c>
      <c r="E13" s="200">
        <v>0</v>
      </c>
      <c r="F13" s="201">
        <v>0</v>
      </c>
      <c r="G13" s="200">
        <v>0</v>
      </c>
      <c r="H13" s="200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f t="shared" si="0"/>
        <v>0</v>
      </c>
      <c r="P13" s="202">
        <f t="shared" si="1"/>
        <v>0</v>
      </c>
    </row>
    <row r="14" spans="1:16" s="196" customFormat="1" x14ac:dyDescent="0.25">
      <c r="A14" s="196">
        <v>12</v>
      </c>
      <c r="B14" s="197" t="s">
        <v>198</v>
      </c>
      <c r="C14" s="198">
        <v>0</v>
      </c>
      <c r="D14" s="199">
        <v>0</v>
      </c>
      <c r="E14" s="200">
        <v>0</v>
      </c>
      <c r="F14" s="201">
        <v>0</v>
      </c>
      <c r="G14" s="200">
        <v>0</v>
      </c>
      <c r="H14" s="200">
        <v>0</v>
      </c>
      <c r="I14" s="202">
        <v>0</v>
      </c>
      <c r="J14" s="202">
        <v>0</v>
      </c>
      <c r="K14" s="202">
        <v>0</v>
      </c>
      <c r="L14" s="202">
        <v>51.280979671200001</v>
      </c>
      <c r="M14" s="202">
        <v>0</v>
      </c>
      <c r="N14" s="202">
        <v>0</v>
      </c>
      <c r="O14" s="202">
        <f t="shared" si="0"/>
        <v>0</v>
      </c>
      <c r="P14" s="202">
        <f t="shared" si="1"/>
        <v>51.280979671200001</v>
      </c>
    </row>
    <row r="15" spans="1:16" s="196" customFormat="1" x14ac:dyDescent="0.25">
      <c r="A15" s="196">
        <v>13</v>
      </c>
      <c r="B15" s="197" t="s">
        <v>199</v>
      </c>
      <c r="C15" s="198">
        <v>0</v>
      </c>
      <c r="D15" s="199">
        <v>0</v>
      </c>
      <c r="E15" s="200">
        <v>0</v>
      </c>
      <c r="F15" s="201">
        <v>0</v>
      </c>
      <c r="G15" s="200">
        <v>0</v>
      </c>
      <c r="H15" s="200">
        <v>0</v>
      </c>
      <c r="I15" s="202">
        <v>0</v>
      </c>
      <c r="J15" s="202">
        <v>0</v>
      </c>
      <c r="K15" s="202">
        <v>0</v>
      </c>
      <c r="L15" s="202">
        <v>15.292604712299999</v>
      </c>
      <c r="M15" s="202">
        <v>0</v>
      </c>
      <c r="N15" s="202">
        <v>0</v>
      </c>
      <c r="O15" s="202">
        <f t="shared" si="0"/>
        <v>0</v>
      </c>
      <c r="P15" s="202">
        <f t="shared" si="1"/>
        <v>15.292604712299999</v>
      </c>
    </row>
    <row r="16" spans="1:16" s="196" customFormat="1" x14ac:dyDescent="0.25">
      <c r="A16" s="196">
        <v>14</v>
      </c>
      <c r="B16" s="197" t="s">
        <v>200</v>
      </c>
      <c r="C16" s="198">
        <v>0</v>
      </c>
      <c r="D16" s="199">
        <v>0</v>
      </c>
      <c r="E16" s="200">
        <v>5</v>
      </c>
      <c r="F16" s="201">
        <v>0</v>
      </c>
      <c r="G16" s="200">
        <v>0</v>
      </c>
      <c r="H16" s="200">
        <v>0</v>
      </c>
      <c r="I16" s="202">
        <v>0</v>
      </c>
      <c r="J16" s="202">
        <v>0</v>
      </c>
      <c r="K16" s="202">
        <v>0</v>
      </c>
      <c r="L16" s="202">
        <v>0</v>
      </c>
      <c r="M16" s="202">
        <v>0</v>
      </c>
      <c r="N16" s="202">
        <v>0</v>
      </c>
      <c r="O16" s="202">
        <f t="shared" si="0"/>
        <v>0</v>
      </c>
      <c r="P16" s="202">
        <f t="shared" si="1"/>
        <v>0</v>
      </c>
    </row>
    <row r="17" spans="1:16" s="196" customFormat="1" x14ac:dyDescent="0.25">
      <c r="A17" s="196">
        <v>15</v>
      </c>
      <c r="B17" s="197" t="s">
        <v>201</v>
      </c>
      <c r="C17" s="198">
        <v>1.1331362997600001</v>
      </c>
      <c r="D17" s="196">
        <v>76.770752016260104</v>
      </c>
      <c r="E17" s="196">
        <v>0</v>
      </c>
      <c r="F17" s="196">
        <v>1.1331363002999999</v>
      </c>
      <c r="G17" s="196">
        <v>1000.00000047655</v>
      </c>
      <c r="H17" s="196">
        <v>720</v>
      </c>
      <c r="I17" s="196">
        <v>33.250000000057398</v>
      </c>
      <c r="J17" s="202">
        <v>37.676781985040002</v>
      </c>
      <c r="K17" s="202">
        <v>0</v>
      </c>
      <c r="L17" s="202">
        <v>0</v>
      </c>
      <c r="M17" s="202">
        <v>0</v>
      </c>
      <c r="N17" s="202">
        <v>33.2500000159027</v>
      </c>
      <c r="O17" s="202">
        <f t="shared" si="0"/>
        <v>33.250000015902764</v>
      </c>
      <c r="P17" s="202">
        <f t="shared" si="1"/>
        <v>37.676781985040002</v>
      </c>
    </row>
    <row r="18" spans="1:16" s="196" customFormat="1" x14ac:dyDescent="0.25">
      <c r="A18" s="196">
        <v>16</v>
      </c>
      <c r="B18" s="197" t="s">
        <v>202</v>
      </c>
      <c r="C18" s="198">
        <v>0</v>
      </c>
      <c r="D18" s="196">
        <v>0</v>
      </c>
      <c r="E18" s="196">
        <v>5</v>
      </c>
      <c r="F18" s="196">
        <v>0</v>
      </c>
      <c r="G18" s="196">
        <v>0</v>
      </c>
      <c r="H18" s="196">
        <v>0</v>
      </c>
      <c r="I18" s="196">
        <v>0</v>
      </c>
      <c r="J18" s="202">
        <v>0</v>
      </c>
      <c r="K18" s="202">
        <v>0</v>
      </c>
      <c r="L18" s="202">
        <v>16.458904109700001</v>
      </c>
      <c r="M18" s="202">
        <v>0</v>
      </c>
      <c r="N18" s="202">
        <v>0</v>
      </c>
      <c r="O18" s="202">
        <f t="shared" si="0"/>
        <v>0</v>
      </c>
      <c r="P18" s="202">
        <f t="shared" si="1"/>
        <v>16.458904109700001</v>
      </c>
    </row>
    <row r="19" spans="1:16" x14ac:dyDescent="0.25">
      <c r="A19" s="196">
        <v>17</v>
      </c>
      <c r="B19" s="197" t="s">
        <v>203</v>
      </c>
      <c r="C19" s="198">
        <v>0</v>
      </c>
      <c r="D19" s="196">
        <v>0</v>
      </c>
      <c r="E19" s="196">
        <v>5</v>
      </c>
      <c r="F19" s="196">
        <v>0</v>
      </c>
      <c r="G19" s="196">
        <v>0</v>
      </c>
      <c r="H19" s="196">
        <v>0</v>
      </c>
      <c r="I19" s="196">
        <v>0</v>
      </c>
      <c r="J19" s="203">
        <v>0</v>
      </c>
      <c r="K19" s="203">
        <v>0</v>
      </c>
      <c r="L19" s="203">
        <v>43.602739725900001</v>
      </c>
      <c r="M19" s="203">
        <v>0</v>
      </c>
      <c r="N19" s="202">
        <v>0</v>
      </c>
      <c r="O19" s="202">
        <f t="shared" si="0"/>
        <v>0</v>
      </c>
      <c r="P19" s="202">
        <f t="shared" si="1"/>
        <v>43.602739725900001</v>
      </c>
    </row>
    <row r="20" spans="1:16" x14ac:dyDescent="0.25">
      <c r="A20" s="196">
        <v>18</v>
      </c>
      <c r="B20" s="197" t="s">
        <v>204</v>
      </c>
      <c r="C20" s="198">
        <v>-1.54461200464</v>
      </c>
      <c r="D20" s="196">
        <v>0.21452944508888899</v>
      </c>
      <c r="E20" s="196"/>
      <c r="F20" s="196"/>
      <c r="G20" s="196"/>
      <c r="H20" s="196"/>
      <c r="I20" s="196"/>
      <c r="J20" s="203">
        <v>-35.74232178698</v>
      </c>
      <c r="O20" s="202">
        <f t="shared" si="0"/>
        <v>23.139999999747769</v>
      </c>
      <c r="P20" s="202">
        <f t="shared" si="1"/>
        <v>-35.74232178698</v>
      </c>
    </row>
    <row r="21" spans="1:16" x14ac:dyDescent="0.25">
      <c r="A21" s="196">
        <v>19</v>
      </c>
      <c r="B21" s="197" t="s">
        <v>205</v>
      </c>
      <c r="C21" s="198">
        <v>79.22049950489</v>
      </c>
      <c r="D21" s="196">
        <v>44.011388613827798</v>
      </c>
      <c r="E21" s="196">
        <v>0</v>
      </c>
      <c r="F21" s="196">
        <v>79.220499504450004</v>
      </c>
      <c r="G21" s="196">
        <v>999.99999999444594</v>
      </c>
      <c r="H21" s="196">
        <v>658</v>
      </c>
      <c r="I21" s="196">
        <v>23.140000000000299</v>
      </c>
      <c r="J21" s="203">
        <v>1833.1623585330001</v>
      </c>
      <c r="K21" s="203">
        <v>0</v>
      </c>
      <c r="L21" s="203">
        <v>0</v>
      </c>
      <c r="M21" s="203">
        <v>0</v>
      </c>
      <c r="N21" s="202">
        <v>23.139999999871801</v>
      </c>
      <c r="O21" s="202">
        <f t="shared" si="0"/>
        <v>23.139999999871819</v>
      </c>
      <c r="P21" s="202">
        <f t="shared" si="1"/>
        <v>1833.1623585330001</v>
      </c>
    </row>
    <row r="22" spans="1:16" s="196" customFormat="1" x14ac:dyDescent="0.25">
      <c r="A22" s="196">
        <v>20</v>
      </c>
      <c r="B22" s="197" t="s">
        <v>206</v>
      </c>
      <c r="C22" s="198">
        <v>0</v>
      </c>
      <c r="D22" s="196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202">
        <v>0</v>
      </c>
      <c r="K22" s="202">
        <v>0</v>
      </c>
      <c r="L22" s="202">
        <v>10.479452054699999</v>
      </c>
      <c r="M22" s="202">
        <v>0</v>
      </c>
      <c r="N22" s="202">
        <v>0</v>
      </c>
      <c r="O22" s="202">
        <f t="shared" si="0"/>
        <v>0</v>
      </c>
      <c r="P22" s="202">
        <f t="shared" si="1"/>
        <v>10.479452054699999</v>
      </c>
    </row>
    <row r="23" spans="1:16" s="196" customFormat="1" x14ac:dyDescent="0.25">
      <c r="A23" s="196">
        <v>21</v>
      </c>
      <c r="B23" s="197" t="s">
        <v>207</v>
      </c>
      <c r="C23" s="198">
        <v>0</v>
      </c>
      <c r="D23" s="199">
        <v>0</v>
      </c>
      <c r="E23" s="200">
        <v>0</v>
      </c>
      <c r="F23" s="201">
        <v>0</v>
      </c>
      <c r="G23" s="200">
        <v>0</v>
      </c>
      <c r="H23" s="200">
        <v>0</v>
      </c>
      <c r="I23" s="202">
        <v>0</v>
      </c>
      <c r="J23" s="202">
        <v>0</v>
      </c>
      <c r="K23" s="202">
        <v>0</v>
      </c>
      <c r="L23" s="202">
        <v>9.8630136986999908</v>
      </c>
      <c r="M23" s="202">
        <v>0</v>
      </c>
      <c r="N23" s="202">
        <v>0</v>
      </c>
      <c r="O23" s="202">
        <f t="shared" si="0"/>
        <v>0</v>
      </c>
      <c r="P23" s="202">
        <f t="shared" si="1"/>
        <v>9.8630136986999908</v>
      </c>
    </row>
    <row r="24" spans="1:16" s="196" customFormat="1" x14ac:dyDescent="0.25">
      <c r="A24" s="196">
        <v>22</v>
      </c>
      <c r="B24" s="197" t="s">
        <v>208</v>
      </c>
      <c r="C24" s="198">
        <v>4.7392332000000001</v>
      </c>
      <c r="D24" s="196">
        <v>33.531677704194202</v>
      </c>
      <c r="E24" s="196">
        <v>390</v>
      </c>
      <c r="F24" s="196">
        <v>0</v>
      </c>
      <c r="G24" s="196">
        <v>0</v>
      </c>
      <c r="H24" s="196">
        <v>598</v>
      </c>
      <c r="I24" s="196">
        <v>0</v>
      </c>
      <c r="J24" s="202">
        <v>0</v>
      </c>
      <c r="K24" s="202">
        <v>0</v>
      </c>
      <c r="L24" s="202">
        <v>34.806974835600002</v>
      </c>
      <c r="M24" s="202">
        <v>0</v>
      </c>
      <c r="N24" s="202">
        <v>0</v>
      </c>
      <c r="O24" s="202">
        <f t="shared" si="0"/>
        <v>7.344431760732939</v>
      </c>
      <c r="P24" s="202">
        <f t="shared" si="1"/>
        <v>34.806974835600002</v>
      </c>
    </row>
    <row r="25" spans="1:16" s="196" customFormat="1" x14ac:dyDescent="0.25">
      <c r="A25" s="196">
        <v>23</v>
      </c>
      <c r="B25" s="197" t="s">
        <v>209</v>
      </c>
      <c r="C25" s="198">
        <v>6.6959</v>
      </c>
      <c r="D25" s="196">
        <v>30.794242089771899</v>
      </c>
      <c r="E25" s="196">
        <v>540</v>
      </c>
      <c r="F25" s="196">
        <v>0</v>
      </c>
      <c r="G25" s="196">
        <v>0</v>
      </c>
      <c r="H25" s="196">
        <v>604</v>
      </c>
      <c r="I25" s="196">
        <v>0</v>
      </c>
      <c r="J25" s="202">
        <v>0</v>
      </c>
      <c r="K25" s="202">
        <v>0</v>
      </c>
      <c r="L25" s="202">
        <v>50.483759671199998</v>
      </c>
      <c r="M25" s="202">
        <v>0</v>
      </c>
      <c r="N25" s="202">
        <v>0</v>
      </c>
      <c r="O25" s="202">
        <f t="shared" si="0"/>
        <v>7.5395032290207435</v>
      </c>
      <c r="P25" s="202">
        <f t="shared" si="1"/>
        <v>50.483759671199998</v>
      </c>
    </row>
    <row r="26" spans="1:16" s="196" customFormat="1" x14ac:dyDescent="0.25">
      <c r="A26" s="196">
        <v>24</v>
      </c>
      <c r="B26" s="197" t="s">
        <v>210</v>
      </c>
      <c r="C26" s="198">
        <v>1.9152</v>
      </c>
      <c r="D26" s="196">
        <v>55.4166666666667</v>
      </c>
      <c r="E26" s="196">
        <v>0</v>
      </c>
      <c r="F26" s="196">
        <v>1.9152</v>
      </c>
      <c r="G26" s="196">
        <v>1000</v>
      </c>
      <c r="H26" s="196">
        <v>456</v>
      </c>
      <c r="I26" s="196">
        <v>7.77</v>
      </c>
      <c r="J26" s="202">
        <v>14.881104000000001</v>
      </c>
      <c r="K26" s="202">
        <v>0</v>
      </c>
      <c r="L26" s="202">
        <v>47.132438794499997</v>
      </c>
      <c r="M26" s="202">
        <v>0</v>
      </c>
      <c r="N26" s="202">
        <v>7.77</v>
      </c>
      <c r="O26" s="202">
        <f t="shared" si="0"/>
        <v>32.379669378916041</v>
      </c>
      <c r="P26" s="202">
        <f t="shared" si="1"/>
        <v>62.013542794499998</v>
      </c>
    </row>
    <row r="27" spans="1:16" s="196" customFormat="1" x14ac:dyDescent="0.25">
      <c r="A27" s="196">
        <v>25</v>
      </c>
      <c r="B27" s="197" t="s">
        <v>211</v>
      </c>
      <c r="C27" s="198">
        <v>40.215336000000001</v>
      </c>
      <c r="D27" s="196">
        <v>37.236422222222203</v>
      </c>
      <c r="E27" s="196">
        <v>1320</v>
      </c>
      <c r="F27" s="196">
        <v>0</v>
      </c>
      <c r="G27" s="196">
        <v>0</v>
      </c>
      <c r="H27" s="196">
        <v>655</v>
      </c>
      <c r="I27" s="196">
        <v>0</v>
      </c>
      <c r="J27" s="202">
        <v>0</v>
      </c>
      <c r="K27" s="202">
        <v>0</v>
      </c>
      <c r="L27" s="202">
        <v>260.0679452055</v>
      </c>
      <c r="M27" s="202">
        <v>0</v>
      </c>
      <c r="N27" s="202">
        <v>0</v>
      </c>
      <c r="O27" s="202">
        <f t="shared" si="0"/>
        <v>6.4668848024917658</v>
      </c>
      <c r="P27" s="202">
        <f t="shared" si="1"/>
        <v>260.0679452055</v>
      </c>
    </row>
    <row r="28" spans="1:16" x14ac:dyDescent="0.25">
      <c r="B28" s="197" t="s">
        <v>212</v>
      </c>
      <c r="C28" s="198">
        <f>SUM(C3:C27)</f>
        <v>251.42099300001001</v>
      </c>
      <c r="D28" s="196"/>
      <c r="E28" s="196"/>
      <c r="F28" s="196"/>
      <c r="G28" s="196"/>
      <c r="H28" s="196"/>
      <c r="I28" s="196"/>
      <c r="J28" s="203">
        <f t="shared" ref="J28:P28" si="2">SUM(J3:J27)</f>
        <v>4796.5352616913506</v>
      </c>
      <c r="K28" s="203">
        <f t="shared" si="2"/>
        <v>2</v>
      </c>
      <c r="L28" s="203">
        <f t="shared" si="2"/>
        <v>2251.9749949724996</v>
      </c>
      <c r="M28" s="203">
        <f t="shared" si="2"/>
        <v>640.26778089250001</v>
      </c>
      <c r="N28" s="202">
        <f>(J28+M28)/C28</f>
        <v>21.624300253175893</v>
      </c>
      <c r="O28" s="202">
        <f t="shared" si="0"/>
        <v>30.589243745274857</v>
      </c>
      <c r="P28" s="202">
        <f t="shared" si="2"/>
        <v>7690.7780375563498</v>
      </c>
    </row>
    <row r="29" spans="1:16" x14ac:dyDescent="0.25">
      <c r="B29" s="197"/>
      <c r="E29" s="200"/>
      <c r="F29" s="201"/>
      <c r="G29" s="200"/>
      <c r="H29" s="200"/>
    </row>
    <row r="30" spans="1:16" x14ac:dyDescent="0.25">
      <c r="B30" s="197"/>
      <c r="E30" s="200"/>
      <c r="F30" s="201"/>
      <c r="G30" s="200"/>
      <c r="H30" s="200"/>
    </row>
    <row r="31" spans="1:16" x14ac:dyDescent="0.25">
      <c r="B31" s="197"/>
      <c r="E31" s="200"/>
      <c r="F31" s="201"/>
      <c r="G31" s="200"/>
      <c r="H31" s="200"/>
    </row>
    <row r="32" spans="1:16" x14ac:dyDescent="0.25">
      <c r="B32" s="197"/>
      <c r="E32" s="200"/>
      <c r="F32" s="201"/>
      <c r="G32" s="200"/>
      <c r="H32" s="200"/>
    </row>
    <row r="33" spans="1:21" x14ac:dyDescent="0.25">
      <c r="B33" s="197"/>
      <c r="E33" s="200"/>
      <c r="F33" s="201"/>
      <c r="G33" s="200"/>
      <c r="H33" s="200"/>
    </row>
    <row r="34" spans="1:21" x14ac:dyDescent="0.25">
      <c r="E34" s="200"/>
      <c r="F34" s="201"/>
      <c r="G34" s="200"/>
      <c r="H34" s="200"/>
    </row>
    <row r="35" spans="1:21" x14ac:dyDescent="0.25">
      <c r="E35" s="200"/>
      <c r="F35" s="201"/>
      <c r="G35" s="200"/>
      <c r="H35" s="200"/>
    </row>
    <row r="36" spans="1:21" x14ac:dyDescent="0.25">
      <c r="E36" s="200"/>
      <c r="F36" s="201"/>
      <c r="G36" s="200"/>
      <c r="H36" s="200"/>
      <c r="Q36" s="204"/>
      <c r="R36" s="204"/>
      <c r="S36" s="204"/>
      <c r="T36" s="204"/>
      <c r="U36" s="204"/>
    </row>
    <row r="37" spans="1:21" x14ac:dyDescent="0.25">
      <c r="E37" s="200"/>
      <c r="F37" s="201"/>
      <c r="G37" s="200"/>
      <c r="H37" s="200"/>
      <c r="Q37" s="204"/>
      <c r="R37" s="204"/>
      <c r="S37" s="204"/>
      <c r="T37" s="204"/>
      <c r="U37" s="204"/>
    </row>
    <row r="38" spans="1:21" x14ac:dyDescent="0.25">
      <c r="E38" s="200"/>
      <c r="F38" s="201"/>
      <c r="G38" s="200"/>
      <c r="H38" s="200"/>
    </row>
    <row r="39" spans="1:21" ht="15.75" thickBot="1" x14ac:dyDescent="0.3">
      <c r="A39" s="232" t="s">
        <v>213</v>
      </c>
      <c r="B39" s="232"/>
      <c r="C39" s="232"/>
      <c r="D39" s="232"/>
      <c r="E39" s="232"/>
      <c r="F39" s="232"/>
    </row>
    <row r="40" spans="1:21" x14ac:dyDescent="0.25">
      <c r="A40" s="205" t="s">
        <v>163</v>
      </c>
      <c r="B40" s="206" t="s">
        <v>214</v>
      </c>
      <c r="C40" s="207" t="s">
        <v>215</v>
      </c>
      <c r="D40" s="208" t="s">
        <v>216</v>
      </c>
      <c r="E40" s="233" t="s">
        <v>217</v>
      </c>
      <c r="F40" s="233"/>
    </row>
    <row r="41" spans="1:21" x14ac:dyDescent="0.25">
      <c r="A41" s="209">
        <v>1</v>
      </c>
      <c r="B41" s="204" t="s">
        <v>218</v>
      </c>
      <c r="C41" s="200">
        <v>0</v>
      </c>
      <c r="D41" s="210">
        <f>IF($C$44=0,0,C41/$C$44)</f>
        <v>0</v>
      </c>
      <c r="E41" s="234">
        <v>0</v>
      </c>
      <c r="F41" s="234"/>
    </row>
    <row r="42" spans="1:21" x14ac:dyDescent="0.25">
      <c r="A42" s="209">
        <v>2</v>
      </c>
      <c r="B42" s="204" t="s">
        <v>219</v>
      </c>
      <c r="C42" s="200">
        <v>0</v>
      </c>
      <c r="D42" s="210">
        <f>IF($C$44=0,0,C42/$C$44)</f>
        <v>0</v>
      </c>
      <c r="E42" s="235">
        <v>0</v>
      </c>
      <c r="F42" s="235"/>
    </row>
    <row r="43" spans="1:21" ht="15.75" thickBot="1" x14ac:dyDescent="0.3">
      <c r="A43" s="209">
        <v>3</v>
      </c>
      <c r="B43" s="211" t="s">
        <v>220</v>
      </c>
      <c r="C43" s="212">
        <f xml:space="preserve"> DAY("4/30/2020") * 24</f>
        <v>720</v>
      </c>
      <c r="D43" s="213">
        <f>IF($C$44=0,0,C43/$C$44)</f>
        <v>1</v>
      </c>
      <c r="E43" s="236">
        <v>23.1375643382353</v>
      </c>
      <c r="F43" s="236"/>
    </row>
    <row r="44" spans="1:21" x14ac:dyDescent="0.25">
      <c r="A44" s="214"/>
      <c r="B44" s="204" t="s">
        <v>212</v>
      </c>
      <c r="C44" s="200">
        <f>SUM(C41:C43)</f>
        <v>720</v>
      </c>
      <c r="D44" s="215">
        <f>SUM(D41:D43)</f>
        <v>1</v>
      </c>
      <c r="E44" s="237">
        <f>E41*D41+E42*D42+E43*D43</f>
        <v>23.1375643382353</v>
      </c>
      <c r="F44" s="237"/>
    </row>
    <row r="49" spans="1:16" ht="15.75" thickBot="1" x14ac:dyDescent="0.3">
      <c r="A49" s="231" t="s">
        <v>221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16"/>
    </row>
    <row r="50" spans="1:16" ht="30" x14ac:dyDescent="0.25">
      <c r="A50" s="217" t="s">
        <v>163</v>
      </c>
      <c r="B50" s="217" t="s">
        <v>222</v>
      </c>
      <c r="C50" s="218" t="s">
        <v>165</v>
      </c>
      <c r="D50" s="219" t="s">
        <v>223</v>
      </c>
      <c r="E50" s="220" t="s">
        <v>224</v>
      </c>
      <c r="F50" s="221" t="s">
        <v>225</v>
      </c>
      <c r="G50" s="222" t="s">
        <v>226</v>
      </c>
      <c r="H50" s="223" t="s">
        <v>227</v>
      </c>
      <c r="I50" s="224" t="s">
        <v>176</v>
      </c>
      <c r="J50" s="225" t="s">
        <v>177</v>
      </c>
      <c r="K50" s="226"/>
      <c r="L50" s="202"/>
      <c r="M50" s="202"/>
      <c r="O50" s="204"/>
      <c r="P50" s="204"/>
    </row>
    <row r="51" spans="1:16" ht="15.75" thickBot="1" x14ac:dyDescent="0.3">
      <c r="A51" s="194" t="s">
        <v>178</v>
      </c>
      <c r="B51" s="194" t="s">
        <v>179</v>
      </c>
      <c r="C51" s="227" t="s">
        <v>228</v>
      </c>
      <c r="D51" s="228" t="s">
        <v>185</v>
      </c>
      <c r="E51" s="194" t="s">
        <v>186</v>
      </c>
      <c r="F51" s="228" t="s">
        <v>182</v>
      </c>
      <c r="G51" s="194" t="s">
        <v>186</v>
      </c>
      <c r="H51" s="228" t="s">
        <v>178</v>
      </c>
      <c r="I51" s="228" t="s">
        <v>185</v>
      </c>
      <c r="J51" s="194" t="s">
        <v>186</v>
      </c>
      <c r="L51" s="202"/>
      <c r="M51" s="202"/>
      <c r="O51" s="204"/>
      <c r="P51" s="204"/>
    </row>
    <row r="52" spans="1:16" s="196" customFormat="1" x14ac:dyDescent="0.25">
      <c r="A52" s="196">
        <v>1</v>
      </c>
      <c r="B52" s="197" t="s">
        <v>229</v>
      </c>
      <c r="C52" s="198">
        <v>54.391929374999997</v>
      </c>
      <c r="D52" s="202">
        <v>1.7849191316666699</v>
      </c>
      <c r="E52" s="202">
        <v>1023.52957046423</v>
      </c>
      <c r="F52" s="201">
        <v>573.43190081571004</v>
      </c>
      <c r="G52" s="202">
        <v>4.4663238242499999</v>
      </c>
      <c r="H52" s="202">
        <v>34690.375124967337</v>
      </c>
      <c r="I52" s="202">
        <f>IF(F52=0,0,J52/F52)</f>
        <v>1.7927078922992428</v>
      </c>
      <c r="J52" s="202">
        <f>$E52+$G52</f>
        <v>1027.99589428848</v>
      </c>
    </row>
    <row r="53" spans="1:16" s="196" customFormat="1" x14ac:dyDescent="0.25">
      <c r="A53" s="196">
        <v>2</v>
      </c>
      <c r="B53" s="197" t="s">
        <v>230</v>
      </c>
      <c r="C53" s="198">
        <v>32.325034875</v>
      </c>
      <c r="D53" s="202">
        <v>1.9367654516666699</v>
      </c>
      <c r="E53" s="202">
        <v>823.12266222953997</v>
      </c>
      <c r="F53" s="201">
        <v>424.99862931144003</v>
      </c>
      <c r="G53" s="202">
        <v>2.0123632413100001</v>
      </c>
      <c r="H53" s="202">
        <v>30797.002124017392</v>
      </c>
      <c r="I53" s="202">
        <f t="shared" ref="I53:I69" si="3">IF(F53=0,0,J53/F53)</f>
        <v>1.941500439207744</v>
      </c>
      <c r="J53" s="202">
        <f t="shared" ref="J53:J69" si="4">$E53+$G53</f>
        <v>825.13502547085</v>
      </c>
    </row>
    <row r="54" spans="1:16" s="196" customFormat="1" x14ac:dyDescent="0.25">
      <c r="A54" s="196">
        <v>3</v>
      </c>
      <c r="B54" s="197" t="s">
        <v>231</v>
      </c>
      <c r="C54" s="198">
        <v>4.032</v>
      </c>
      <c r="D54" s="202">
        <v>3.06753034458333</v>
      </c>
      <c r="E54" s="202">
        <v>255.27227709913001</v>
      </c>
      <c r="F54" s="201">
        <v>83.217523030560002</v>
      </c>
      <c r="G54" s="202">
        <v>10.649669939280001</v>
      </c>
      <c r="H54" s="202">
        <v>5927.1740050256412</v>
      </c>
      <c r="I54" s="202">
        <f t="shared" si="3"/>
        <v>3.1955042322126719</v>
      </c>
      <c r="J54" s="202">
        <f t="shared" si="4"/>
        <v>265.92194703841</v>
      </c>
    </row>
    <row r="55" spans="1:16" s="196" customFormat="1" x14ac:dyDescent="0.25">
      <c r="A55" s="196">
        <v>4</v>
      </c>
      <c r="B55" s="197" t="s">
        <v>232</v>
      </c>
      <c r="C55" s="198">
        <v>3.5967600000000002</v>
      </c>
      <c r="D55" s="202">
        <v>3.07179737458334</v>
      </c>
      <c r="E55" s="202">
        <v>142.54023597237</v>
      </c>
      <c r="F55" s="201">
        <v>46.402877074739997</v>
      </c>
      <c r="G55" s="202">
        <v>5.9383565753700003</v>
      </c>
      <c r="H55" s="202">
        <v>3305.0482246965812</v>
      </c>
      <c r="I55" s="202">
        <f t="shared" si="3"/>
        <v>3.1997712622126664</v>
      </c>
      <c r="J55" s="202">
        <f t="shared" si="4"/>
        <v>148.47859254773999</v>
      </c>
    </row>
    <row r="56" spans="1:16" s="196" customFormat="1" x14ac:dyDescent="0.25">
      <c r="A56" s="196">
        <v>5</v>
      </c>
      <c r="B56" s="197" t="s">
        <v>233</v>
      </c>
      <c r="C56" s="198">
        <v>24.413903999999999</v>
      </c>
      <c r="D56" s="202">
        <v>2.01333391208333</v>
      </c>
      <c r="E56" s="202">
        <v>651.33091965179904</v>
      </c>
      <c r="F56" s="201">
        <v>323.50864190430002</v>
      </c>
      <c r="G56" s="202">
        <v>15.3054727938</v>
      </c>
      <c r="H56" s="202">
        <v>24378.948146518465</v>
      </c>
      <c r="I56" s="202">
        <f t="shared" si="3"/>
        <v>2.0606447744997265</v>
      </c>
      <c r="J56" s="202">
        <f t="shared" si="4"/>
        <v>666.63639244559909</v>
      </c>
    </row>
    <row r="57" spans="1:16" s="196" customFormat="1" x14ac:dyDescent="0.25">
      <c r="A57" s="196">
        <v>6</v>
      </c>
      <c r="B57" s="197" t="s">
        <v>234</v>
      </c>
      <c r="C57" s="198">
        <v>3.2399999999999998E-3</v>
      </c>
      <c r="D57" s="202">
        <v>3.2768701629166701</v>
      </c>
      <c r="E57" s="202">
        <v>0.13697385950999999</v>
      </c>
      <c r="F57" s="201">
        <v>4.1800209570000003E-2</v>
      </c>
      <c r="G57" s="202">
        <v>0</v>
      </c>
      <c r="H57" s="202">
        <v>37.522629775583489</v>
      </c>
      <c r="I57" s="202">
        <f t="shared" si="3"/>
        <v>3.276870162112921</v>
      </c>
      <c r="J57" s="202">
        <f t="shared" si="4"/>
        <v>0.13697385950999999</v>
      </c>
    </row>
    <row r="58" spans="1:16" s="196" customFormat="1" x14ac:dyDescent="0.25">
      <c r="A58" s="196">
        <v>7</v>
      </c>
      <c r="B58" s="197" t="s">
        <v>235</v>
      </c>
      <c r="C58" s="198">
        <v>6.6096000000000002E-2</v>
      </c>
      <c r="D58" s="202">
        <v>2.2485355650000001</v>
      </c>
      <c r="E58" s="202">
        <v>1.969353108</v>
      </c>
      <c r="F58" s="201">
        <v>0.87583809599999995</v>
      </c>
      <c r="G58" s="202">
        <v>0</v>
      </c>
      <c r="H58" s="202">
        <v>724.43184119106695</v>
      </c>
      <c r="I58" s="202">
        <f t="shared" si="3"/>
        <v>2.2485355649567453</v>
      </c>
      <c r="J58" s="202">
        <f t="shared" si="4"/>
        <v>1.969353108</v>
      </c>
    </row>
    <row r="59" spans="1:16" s="196" customFormat="1" x14ac:dyDescent="0.25">
      <c r="A59" s="196">
        <v>8</v>
      </c>
      <c r="B59" s="197" t="s">
        <v>235</v>
      </c>
      <c r="C59" s="198">
        <v>0</v>
      </c>
      <c r="D59" s="202">
        <v>2.2485355650000001</v>
      </c>
      <c r="E59" s="202">
        <v>0</v>
      </c>
      <c r="F59" s="201">
        <v>0</v>
      </c>
      <c r="G59" s="202">
        <v>0</v>
      </c>
      <c r="H59" s="202">
        <v>0</v>
      </c>
      <c r="I59" s="202">
        <f t="shared" si="3"/>
        <v>0</v>
      </c>
      <c r="J59" s="202">
        <f t="shared" si="4"/>
        <v>0</v>
      </c>
    </row>
    <row r="60" spans="1:16" s="196" customFormat="1" x14ac:dyDescent="0.25">
      <c r="A60" s="196">
        <v>9</v>
      </c>
      <c r="B60" s="197" t="s">
        <v>236</v>
      </c>
      <c r="C60" s="198">
        <v>0</v>
      </c>
      <c r="D60" s="202">
        <v>3.6057692308333298</v>
      </c>
      <c r="E60" s="202">
        <v>0</v>
      </c>
      <c r="F60" s="201">
        <v>0</v>
      </c>
      <c r="G60" s="202">
        <v>0</v>
      </c>
      <c r="H60" s="202">
        <v>0</v>
      </c>
      <c r="I60" s="202">
        <f t="shared" si="3"/>
        <v>0</v>
      </c>
      <c r="J60" s="202">
        <f t="shared" si="4"/>
        <v>0</v>
      </c>
    </row>
    <row r="61" spans="1:16" s="196" customFormat="1" x14ac:dyDescent="0.25">
      <c r="A61" s="196">
        <v>10</v>
      </c>
      <c r="B61" s="197" t="s">
        <v>237</v>
      </c>
      <c r="C61" s="198">
        <v>0</v>
      </c>
      <c r="D61" s="202">
        <v>3.6057692308333298</v>
      </c>
      <c r="E61" s="202">
        <v>0</v>
      </c>
      <c r="F61" s="201">
        <v>0</v>
      </c>
      <c r="G61" s="202">
        <v>0</v>
      </c>
      <c r="H61" s="202">
        <v>0</v>
      </c>
      <c r="I61" s="202">
        <f t="shared" si="3"/>
        <v>0</v>
      </c>
      <c r="J61" s="202">
        <f t="shared" si="4"/>
        <v>0</v>
      </c>
    </row>
    <row r="62" spans="1:16" s="196" customFormat="1" x14ac:dyDescent="0.25">
      <c r="A62" s="196">
        <v>11</v>
      </c>
      <c r="B62" s="197" t="s">
        <v>238</v>
      </c>
      <c r="C62" s="198">
        <v>0</v>
      </c>
      <c r="D62" s="202">
        <v>3.5124423958333399</v>
      </c>
      <c r="E62" s="202">
        <v>0</v>
      </c>
      <c r="F62" s="201">
        <v>0</v>
      </c>
      <c r="G62" s="202">
        <v>0</v>
      </c>
      <c r="H62" s="202">
        <v>0</v>
      </c>
      <c r="I62" s="202">
        <f t="shared" si="3"/>
        <v>0</v>
      </c>
      <c r="J62" s="202">
        <f t="shared" si="4"/>
        <v>0</v>
      </c>
    </row>
    <row r="63" spans="1:16" s="196" customFormat="1" x14ac:dyDescent="0.25">
      <c r="A63" s="196">
        <v>12</v>
      </c>
      <c r="B63" s="197" t="s">
        <v>239</v>
      </c>
      <c r="C63" s="198">
        <v>0</v>
      </c>
      <c r="D63" s="202">
        <v>3.5124423958333399</v>
      </c>
      <c r="E63" s="202">
        <v>0</v>
      </c>
      <c r="F63" s="201">
        <v>0</v>
      </c>
      <c r="G63" s="202">
        <v>0</v>
      </c>
      <c r="H63" s="202" t="e">
        <v>#N/A</v>
      </c>
      <c r="I63" s="202">
        <f t="shared" si="3"/>
        <v>0</v>
      </c>
      <c r="J63" s="202">
        <f t="shared" si="4"/>
        <v>0</v>
      </c>
    </row>
    <row r="64" spans="1:16" s="196" customFormat="1" x14ac:dyDescent="0.25">
      <c r="A64" s="196">
        <v>13</v>
      </c>
      <c r="B64" s="197" t="s">
        <v>238</v>
      </c>
      <c r="C64" s="198">
        <v>0</v>
      </c>
      <c r="D64" s="202">
        <v>3.5124423958333399</v>
      </c>
      <c r="E64" s="202">
        <v>0</v>
      </c>
      <c r="F64" s="201">
        <v>0</v>
      </c>
      <c r="G64" s="202">
        <v>0</v>
      </c>
      <c r="H64" s="202">
        <v>0</v>
      </c>
      <c r="I64" s="202">
        <f t="shared" si="3"/>
        <v>0</v>
      </c>
      <c r="J64" s="202">
        <f t="shared" si="4"/>
        <v>0</v>
      </c>
    </row>
    <row r="65" spans="1:21" s="196" customFormat="1" x14ac:dyDescent="0.25">
      <c r="A65" s="196">
        <v>14</v>
      </c>
      <c r="B65" s="197" t="s">
        <v>239</v>
      </c>
      <c r="C65" s="198">
        <v>0</v>
      </c>
      <c r="D65" s="202">
        <v>3.5124423958333399</v>
      </c>
      <c r="E65" s="202">
        <v>0</v>
      </c>
      <c r="F65" s="201">
        <v>0</v>
      </c>
      <c r="G65" s="202">
        <v>0</v>
      </c>
      <c r="H65" s="202" t="e">
        <v>#N/A</v>
      </c>
      <c r="I65" s="202">
        <f t="shared" si="3"/>
        <v>0</v>
      </c>
      <c r="J65" s="202">
        <f t="shared" si="4"/>
        <v>0</v>
      </c>
    </row>
    <row r="66" spans="1:21" s="196" customFormat="1" x14ac:dyDescent="0.25">
      <c r="A66" s="196">
        <v>15</v>
      </c>
      <c r="B66" s="197" t="s">
        <v>240</v>
      </c>
      <c r="C66" s="198">
        <v>0</v>
      </c>
      <c r="D66" s="202">
        <v>3.3967391299999998</v>
      </c>
      <c r="E66" s="202">
        <v>0</v>
      </c>
      <c r="F66" s="201">
        <v>0</v>
      </c>
      <c r="G66" s="202">
        <v>0</v>
      </c>
      <c r="H66" s="202">
        <v>0</v>
      </c>
      <c r="I66" s="202">
        <f t="shared" si="3"/>
        <v>0</v>
      </c>
      <c r="J66" s="202">
        <f t="shared" si="4"/>
        <v>0</v>
      </c>
    </row>
    <row r="67" spans="1:21" s="196" customFormat="1" x14ac:dyDescent="0.25">
      <c r="A67" s="196">
        <v>16</v>
      </c>
      <c r="B67" s="197" t="s">
        <v>241</v>
      </c>
      <c r="C67" s="198">
        <v>0.136320625</v>
      </c>
      <c r="D67" s="202">
        <v>18.714285709999999</v>
      </c>
      <c r="E67" s="202">
        <v>26.895660218210001</v>
      </c>
      <c r="F67" s="201">
        <v>1.4371726836500001</v>
      </c>
      <c r="G67" s="202">
        <v>0</v>
      </c>
      <c r="H67" s="202">
        <v>10265.519168928569</v>
      </c>
      <c r="I67" s="202">
        <f t="shared" si="3"/>
        <v>18.714285711236077</v>
      </c>
      <c r="J67" s="202">
        <f t="shared" si="4"/>
        <v>26.895660218210001</v>
      </c>
    </row>
    <row r="68" spans="1:21" s="196" customFormat="1" x14ac:dyDescent="0.25">
      <c r="A68" s="196">
        <v>17</v>
      </c>
      <c r="B68" s="197" t="s">
        <v>242</v>
      </c>
      <c r="C68" s="198">
        <v>8.1015124999999993E-2</v>
      </c>
      <c r="D68" s="202">
        <v>20.428571430000002</v>
      </c>
      <c r="E68" s="202">
        <v>21.759686357220001</v>
      </c>
      <c r="F68" s="201">
        <v>1.0651594720499999</v>
      </c>
      <c r="G68" s="202">
        <v>0</v>
      </c>
      <c r="H68" s="202">
        <v>7608.2819432142851</v>
      </c>
      <c r="I68" s="202">
        <f t="shared" si="3"/>
        <v>20.428571428221382</v>
      </c>
      <c r="J68" s="202">
        <f t="shared" si="4"/>
        <v>21.759686357220001</v>
      </c>
    </row>
    <row r="69" spans="1:21" s="196" customFormat="1" x14ac:dyDescent="0.25">
      <c r="A69" s="196">
        <v>18</v>
      </c>
      <c r="B69" s="197" t="s">
        <v>195</v>
      </c>
      <c r="C69" s="198">
        <v>0</v>
      </c>
      <c r="D69" s="202">
        <v>20.428571430000002</v>
      </c>
      <c r="E69" s="202">
        <v>0</v>
      </c>
      <c r="F69" s="201">
        <v>0</v>
      </c>
      <c r="G69" s="202">
        <v>0</v>
      </c>
      <c r="H69" s="202">
        <v>0</v>
      </c>
      <c r="I69" s="202">
        <f t="shared" si="3"/>
        <v>0</v>
      </c>
      <c r="J69" s="202">
        <f t="shared" si="4"/>
        <v>0</v>
      </c>
    </row>
    <row r="70" spans="1:21" s="196" customFormat="1" x14ac:dyDescent="0.25">
      <c r="B70" s="197"/>
      <c r="C70" s="198"/>
      <c r="D70" s="202"/>
      <c r="E70" s="202"/>
      <c r="F70" s="201"/>
      <c r="G70" s="202"/>
      <c r="H70" s="202"/>
      <c r="I70" s="202"/>
      <c r="J70" s="202"/>
    </row>
    <row r="71" spans="1:21" s="196" customFormat="1" x14ac:dyDescent="0.25">
      <c r="B71" s="197"/>
      <c r="C71" s="198"/>
      <c r="D71" s="202"/>
      <c r="E71" s="202"/>
      <c r="F71" s="201"/>
      <c r="G71" s="202"/>
      <c r="H71" s="202"/>
      <c r="I71" s="202"/>
      <c r="J71" s="202"/>
    </row>
    <row r="72" spans="1:21" s="196" customFormat="1" x14ac:dyDescent="0.25">
      <c r="B72" s="197"/>
      <c r="C72" s="198"/>
      <c r="D72" s="202"/>
      <c r="E72" s="202"/>
      <c r="F72" s="201"/>
      <c r="G72" s="202"/>
      <c r="H72" s="202"/>
      <c r="I72" s="202"/>
      <c r="J72" s="202"/>
    </row>
    <row r="73" spans="1:21" s="196" customFormat="1" x14ac:dyDescent="0.25">
      <c r="B73" s="197"/>
      <c r="C73" s="198"/>
      <c r="D73" s="202"/>
      <c r="E73" s="202"/>
      <c r="F73" s="201"/>
      <c r="G73" s="202"/>
      <c r="H73" s="202"/>
      <c r="I73" s="202"/>
      <c r="J73" s="202"/>
    </row>
    <row r="74" spans="1:21" s="196" customFormat="1" x14ac:dyDescent="0.25">
      <c r="B74" s="197"/>
      <c r="C74" s="198"/>
      <c r="D74" s="202"/>
      <c r="E74" s="202"/>
      <c r="F74" s="201"/>
      <c r="G74" s="202"/>
      <c r="H74" s="202"/>
      <c r="I74" s="202"/>
      <c r="J74" s="202"/>
    </row>
    <row r="75" spans="1:21" s="196" customFormat="1" x14ac:dyDescent="0.25">
      <c r="B75" s="197"/>
      <c r="C75" s="198"/>
      <c r="D75" s="202"/>
      <c r="E75" s="202"/>
      <c r="F75" s="201"/>
      <c r="G75" s="202"/>
      <c r="H75" s="202"/>
      <c r="I75" s="202"/>
      <c r="J75" s="202"/>
    </row>
    <row r="76" spans="1:21" s="203" customFormat="1" x14ac:dyDescent="0.25">
      <c r="A76" s="204"/>
      <c r="B76" s="204"/>
      <c r="C76" s="198"/>
      <c r="D76" s="199"/>
      <c r="E76" s="202"/>
      <c r="F76" s="201"/>
      <c r="G76" s="202"/>
      <c r="H76" s="202"/>
      <c r="N76" s="202"/>
      <c r="O76" s="202"/>
      <c r="P76" s="202"/>
      <c r="Q76" s="196"/>
      <c r="R76" s="196"/>
      <c r="S76" s="196"/>
      <c r="T76" s="196"/>
      <c r="U76" s="196"/>
    </row>
    <row r="77" spans="1:21" s="203" customFormat="1" x14ac:dyDescent="0.25">
      <c r="A77" s="204"/>
      <c r="B77" s="204"/>
      <c r="C77" s="198"/>
      <c r="D77" s="199"/>
      <c r="E77" s="202"/>
      <c r="F77" s="201"/>
      <c r="G77" s="202"/>
      <c r="H77" s="202"/>
      <c r="N77" s="202"/>
      <c r="O77" s="202"/>
      <c r="P77" s="202"/>
      <c r="Q77" s="196"/>
      <c r="R77" s="196"/>
      <c r="S77" s="196"/>
      <c r="T77" s="196"/>
      <c r="U77" s="196"/>
    </row>
  </sheetData>
  <mergeCells count="7">
    <mergeCell ref="A49:J49"/>
    <mergeCell ref="A39:F39"/>
    <mergeCell ref="E40:F40"/>
    <mergeCell ref="E41:F41"/>
    <mergeCell ref="E42:F42"/>
    <mergeCell ref="E43:F43"/>
    <mergeCell ref="E44:F44"/>
  </mergeCells>
  <pageMargins left="0.25" right="0.25" top="0.75" bottom="0.75" header="0.2" footer="0.2"/>
  <pageSetup scale="85" orientation="landscape" r:id="rId1"/>
  <headerFooter differentOddEven="1">
    <oddHeader>&amp;L
Month Beginning: 4/1/2020&amp;CMontana-Dakota Utility Co.
Plexos V6.400
Plexos by Month - 2020 Operating Plan - Base Model - V-1 - Run 1&amp;RPage 7
8/21/2019
11:08:38 AM</oddHeader>
    <oddFooter>&amp;RPage 7
8/21/2019
11:08:38 AM&amp;C
Plexos V6.400
Plexos by Month - 2020 Operating Plan - Base Model - V-1 - Run 1&amp;L
Month Beginning: 4/1/2020</oddFooter>
    <evenHeader>&amp;L
Month Beginning: 4/1/2020&amp;CMontana-Dakota Utility Co.
Plexos V6.400
Plexos by Month - 2020 Operating Plan - Base Model - V-1 - Run 1&amp;RPage 8
8/21/2019
11:08:38 AM</evenHeader>
    <evenFooter>&amp;RPage 8
8/21/2019
11:08:38 AM&amp;C
Plexos V6.400
Plexos by Month - 2020 Operating Plan - Base Model - V-1 - Run 1&amp;L
Month Beginning: 4/1/2020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Att A pg 1</vt:lpstr>
      <vt:lpstr>Att A pg 2</vt:lpstr>
      <vt:lpstr>Att A pg 3-5</vt:lpstr>
      <vt:lpstr>Att A wp 1</vt:lpstr>
      <vt:lpstr>Att A wp 2</vt:lpstr>
      <vt:lpstr>Att A wp 3</vt:lpstr>
      <vt:lpstr>Att A wp 4</vt:lpstr>
      <vt:lpstr>Att A wp 5</vt:lpstr>
      <vt:lpstr>Att A wp 6</vt:lpstr>
      <vt:lpstr>Att A wp 7</vt:lpstr>
      <vt:lpstr>Att A wp 8</vt:lpstr>
      <vt:lpstr>Att A wp 9</vt:lpstr>
      <vt:lpstr>Att A wp 10</vt:lpstr>
      <vt:lpstr>Att A wp11</vt:lpstr>
      <vt:lpstr>Att A wp 12</vt:lpstr>
      <vt:lpstr>Att A wp 13</vt:lpstr>
      <vt:lpstr>Att A wp 14</vt:lpstr>
      <vt:lpstr>Att B</vt:lpstr>
      <vt:lpstr>'Att A pg 1'!Print_Area</vt:lpstr>
      <vt:lpstr>'Att A pg 2'!Print_Area</vt:lpstr>
      <vt:lpstr>'Att A pg 3-5'!Print_Area</vt:lpstr>
      <vt:lpstr>'Att A wp 1'!Print_Area</vt:lpstr>
      <vt:lpstr>'Att A wp 10'!Print_Area</vt:lpstr>
      <vt:lpstr>'Att A wp 12'!Print_Area</vt:lpstr>
      <vt:lpstr>'Att A wp 13'!Print_Area</vt:lpstr>
      <vt:lpstr>'Att A wp 14'!Print_Area</vt:lpstr>
      <vt:lpstr>'Att A wp 2'!Print_Area</vt:lpstr>
      <vt:lpstr>'Att A wp 3'!Print_Area</vt:lpstr>
      <vt:lpstr>'Att A wp 4'!Print_Area</vt:lpstr>
      <vt:lpstr>'Att A wp 5'!Print_Area</vt:lpstr>
      <vt:lpstr>'Att A wp 6'!Print_Area</vt:lpstr>
      <vt:lpstr>'Att A wp 7'!Print_Area</vt:lpstr>
      <vt:lpstr>'Att A wp 8'!Print_Area</vt:lpstr>
      <vt:lpstr>'Att A wp 9'!Print_Area</vt:lpstr>
      <vt:lpstr>'Att A wp11'!Print_Area</vt:lpstr>
      <vt:lpstr>'Att B'!Print_Area</vt:lpstr>
      <vt:lpstr>'Att A pg 3-5'!Print_Titles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</dc:creator>
  <cp:lastModifiedBy>Lashley, Joy  (PUC)</cp:lastModifiedBy>
  <cp:lastPrinted>2019-11-13T15:50:16Z</cp:lastPrinted>
  <dcterms:created xsi:type="dcterms:W3CDTF">1998-05-19T18:26:09Z</dcterms:created>
  <dcterms:modified xsi:type="dcterms:W3CDTF">2019-12-13T20:37:18Z</dcterms:modified>
</cp:coreProperties>
</file>